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hidePivotFieldList="1" defaultThemeVersion="166925"/>
  <mc:AlternateContent xmlns:mc="http://schemas.openxmlformats.org/markup-compatibility/2006">
    <mc:Choice Requires="x15">
      <x15ac:absPath xmlns:x15ac="http://schemas.microsoft.com/office/spreadsheetml/2010/11/ac" url="https://mpce365.sharepoint.com/teams/PGJ/CAC/NACON/GESTÃO/AUTOMAÇÃO/DISPENSA E INEXIGIBILIDADE - PORTAL DA TRANSPARÊNCIA/"/>
    </mc:Choice>
  </mc:AlternateContent>
  <xr:revisionPtr revIDLastSave="6" documentId="13_ncr:1_{8D9ECE1A-786E-42C1-8BE0-DB3BDED49435}" xr6:coauthVersionLast="47" xr6:coauthVersionMax="47" xr10:uidLastSave="{76B732B6-2908-4017-925B-BA207DEFA37F}"/>
  <bookViews>
    <workbookView xWindow="-120" yWindow="-120" windowWidth="29040" windowHeight="15840" xr2:uid="{EF531BC0-2F8C-4D1A-99EB-02327E6C95EE}"/>
  </bookViews>
  <sheets>
    <sheet name="Planilha1" sheetId="1" r:id="rId1"/>
  </sheets>
  <definedNames>
    <definedName name="_xlnm._FilterDatabase" localSheetId="0" hidden="1">Planilha1!$A$1:$J$1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C3" i="1" l="1"/>
  <c r="G3" i="1"/>
  <c r="C4" i="1"/>
  <c r="E4" i="1"/>
  <c r="G4" i="1"/>
  <c r="C5" i="1"/>
  <c r="G5" i="1"/>
  <c r="C6" i="1"/>
  <c r="G6" i="1"/>
  <c r="C7" i="1"/>
  <c r="E7" i="1"/>
  <c r="G7" i="1"/>
  <c r="C8" i="1"/>
  <c r="G8" i="1"/>
  <c r="C9" i="1"/>
  <c r="G9" i="1"/>
  <c r="C10" i="1"/>
  <c r="G10" i="1"/>
  <c r="C11" i="1"/>
  <c r="E11" i="1"/>
  <c r="G11" i="1"/>
  <c r="C12" i="1"/>
  <c r="G12" i="1"/>
  <c r="C13" i="1"/>
  <c r="E13" i="1"/>
  <c r="G13" i="1"/>
  <c r="C14" i="1"/>
  <c r="G14" i="1"/>
  <c r="C15" i="1"/>
  <c r="E15" i="1"/>
  <c r="G15" i="1"/>
  <c r="C16" i="1"/>
  <c r="G16" i="1"/>
  <c r="C17" i="1"/>
  <c r="E17" i="1"/>
  <c r="G17" i="1"/>
  <c r="C18" i="1"/>
  <c r="E18" i="1"/>
  <c r="G18" i="1"/>
  <c r="C19" i="1"/>
  <c r="E19" i="1"/>
  <c r="G19" i="1"/>
  <c r="C20" i="1"/>
  <c r="G20" i="1"/>
  <c r="C21" i="1"/>
  <c r="E21" i="1"/>
  <c r="G21" i="1"/>
  <c r="C22" i="1"/>
  <c r="G22" i="1"/>
  <c r="C23" i="1"/>
  <c r="G23" i="1"/>
  <c r="C24" i="1"/>
  <c r="G24" i="1"/>
  <c r="C25" i="1"/>
  <c r="G25" i="1"/>
  <c r="C26" i="1"/>
  <c r="G26" i="1"/>
  <c r="C27" i="1"/>
  <c r="G27" i="1"/>
  <c r="C28" i="1"/>
  <c r="E28" i="1"/>
  <c r="G28" i="1"/>
  <c r="C29" i="1"/>
  <c r="E29" i="1"/>
  <c r="G29" i="1"/>
  <c r="C30" i="1"/>
  <c r="E30" i="1"/>
  <c r="G30" i="1"/>
  <c r="C31" i="1"/>
  <c r="E31" i="1"/>
  <c r="G31" i="1"/>
  <c r="C32" i="1"/>
  <c r="E32" i="1"/>
  <c r="G32" i="1"/>
  <c r="C33" i="1"/>
  <c r="E33" i="1"/>
  <c r="G33" i="1"/>
  <c r="C34" i="1"/>
  <c r="E34" i="1"/>
  <c r="G34" i="1"/>
  <c r="C35" i="1"/>
  <c r="E35" i="1"/>
  <c r="G35" i="1"/>
  <c r="C36" i="1"/>
  <c r="E36" i="1"/>
  <c r="G36" i="1"/>
  <c r="C37" i="1"/>
  <c r="E37" i="1"/>
  <c r="G37" i="1"/>
  <c r="C38" i="1"/>
  <c r="E38" i="1"/>
  <c r="G38" i="1"/>
  <c r="C39" i="1"/>
  <c r="E39" i="1"/>
  <c r="G39" i="1"/>
  <c r="C40" i="1"/>
  <c r="E40" i="1"/>
  <c r="G40" i="1"/>
  <c r="C41" i="1"/>
  <c r="E41" i="1"/>
  <c r="G41" i="1"/>
  <c r="C42" i="1"/>
  <c r="E42" i="1"/>
  <c r="G42" i="1"/>
  <c r="C43" i="1"/>
  <c r="E43" i="1"/>
  <c r="G43" i="1"/>
  <c r="C44" i="1"/>
  <c r="E44" i="1"/>
  <c r="G44" i="1"/>
  <c r="C45" i="1"/>
  <c r="E45" i="1"/>
  <c r="G45" i="1"/>
  <c r="C46" i="1"/>
  <c r="E46" i="1"/>
  <c r="G46" i="1"/>
  <c r="C47" i="1"/>
  <c r="E47" i="1"/>
  <c r="G47" i="1"/>
  <c r="C48" i="1"/>
  <c r="E48" i="1"/>
  <c r="G48" i="1"/>
  <c r="C49" i="1"/>
  <c r="E49" i="1"/>
  <c r="G49" i="1"/>
  <c r="C50" i="1"/>
  <c r="E50" i="1"/>
  <c r="G50" i="1"/>
  <c r="C51" i="1"/>
  <c r="E51" i="1"/>
  <c r="G51" i="1"/>
  <c r="C52" i="1"/>
  <c r="E52" i="1"/>
  <c r="G52" i="1"/>
  <c r="C53" i="1"/>
  <c r="E53" i="1"/>
  <c r="G53" i="1"/>
  <c r="C54" i="1"/>
  <c r="E54" i="1"/>
  <c r="G54" i="1"/>
  <c r="C55" i="1"/>
  <c r="E55" i="1"/>
  <c r="G55" i="1"/>
  <c r="C56" i="1"/>
  <c r="E56" i="1"/>
  <c r="G56" i="1"/>
  <c r="C57" i="1"/>
  <c r="E57" i="1"/>
  <c r="G57" i="1"/>
  <c r="C58" i="1"/>
  <c r="E58" i="1"/>
  <c r="G58" i="1"/>
  <c r="C59" i="1"/>
  <c r="E59" i="1"/>
  <c r="G59" i="1"/>
  <c r="C60" i="1"/>
  <c r="E60" i="1"/>
  <c r="G60" i="1"/>
  <c r="C61" i="1"/>
  <c r="E61" i="1"/>
  <c r="G61" i="1"/>
  <c r="C62" i="1"/>
  <c r="E62" i="1"/>
  <c r="G62" i="1"/>
  <c r="C63" i="1"/>
  <c r="E63" i="1"/>
  <c r="G63" i="1"/>
  <c r="C64" i="1"/>
  <c r="E64" i="1"/>
  <c r="G64" i="1"/>
  <c r="C65" i="1"/>
  <c r="E65" i="1"/>
  <c r="G65" i="1"/>
  <c r="C66" i="1"/>
  <c r="E66" i="1"/>
  <c r="G66" i="1"/>
  <c r="C67" i="1"/>
  <c r="E67" i="1"/>
  <c r="G67" i="1"/>
  <c r="C68" i="1"/>
  <c r="E68" i="1"/>
  <c r="G68" i="1"/>
  <c r="C69" i="1"/>
  <c r="E69" i="1"/>
  <c r="G69" i="1"/>
  <c r="C70" i="1"/>
  <c r="E70" i="1"/>
  <c r="G70" i="1"/>
  <c r="C71" i="1"/>
  <c r="E71" i="1"/>
  <c r="G71" i="1"/>
  <c r="C72" i="1"/>
  <c r="E72" i="1"/>
  <c r="G72" i="1"/>
  <c r="C73" i="1"/>
  <c r="E73" i="1"/>
  <c r="G73" i="1"/>
  <c r="C74" i="1"/>
  <c r="E74" i="1"/>
  <c r="G74" i="1"/>
  <c r="C75" i="1"/>
  <c r="E75" i="1"/>
  <c r="G75" i="1"/>
  <c r="C76" i="1"/>
  <c r="E76" i="1"/>
  <c r="G76" i="1"/>
  <c r="C77" i="1"/>
  <c r="E77" i="1"/>
  <c r="G77" i="1"/>
  <c r="C78" i="1"/>
  <c r="E78" i="1"/>
  <c r="G78" i="1"/>
  <c r="C79" i="1"/>
  <c r="E79" i="1"/>
  <c r="G79" i="1"/>
  <c r="C80" i="1"/>
  <c r="E80" i="1"/>
  <c r="G80" i="1"/>
  <c r="C81" i="1"/>
  <c r="E81" i="1"/>
  <c r="G81" i="1"/>
  <c r="C82" i="1"/>
  <c r="E82" i="1"/>
  <c r="G82" i="1"/>
  <c r="C83" i="1"/>
  <c r="E83" i="1"/>
  <c r="G83" i="1"/>
  <c r="C84" i="1"/>
  <c r="E84" i="1"/>
  <c r="G84" i="1"/>
  <c r="C85" i="1"/>
  <c r="E85" i="1"/>
  <c r="G85" i="1"/>
  <c r="C86" i="1"/>
  <c r="E86" i="1"/>
  <c r="G86" i="1"/>
  <c r="C87" i="1"/>
  <c r="E87" i="1"/>
  <c r="G87" i="1"/>
  <c r="C88" i="1"/>
  <c r="E88" i="1"/>
  <c r="G88" i="1"/>
  <c r="C89" i="1"/>
  <c r="E89" i="1"/>
  <c r="G89" i="1"/>
  <c r="C90" i="1"/>
  <c r="E90" i="1"/>
  <c r="G90" i="1"/>
  <c r="C91" i="1"/>
  <c r="E91" i="1"/>
  <c r="G91" i="1"/>
  <c r="C92" i="1"/>
  <c r="E92" i="1"/>
  <c r="G92" i="1"/>
  <c r="C93" i="1"/>
  <c r="E93" i="1"/>
  <c r="G93" i="1"/>
  <c r="C94" i="1"/>
  <c r="E94" i="1"/>
  <c r="G94" i="1"/>
  <c r="C95" i="1"/>
  <c r="E95" i="1"/>
  <c r="G95" i="1"/>
  <c r="C96" i="1"/>
  <c r="E96" i="1"/>
  <c r="G96" i="1"/>
  <c r="C97" i="1"/>
  <c r="E97" i="1"/>
  <c r="G97" i="1"/>
  <c r="C98" i="1"/>
  <c r="E98" i="1"/>
  <c r="G98" i="1"/>
  <c r="C99" i="1"/>
  <c r="G99" i="1"/>
  <c r="C100" i="1"/>
  <c r="E100" i="1"/>
  <c r="G100" i="1"/>
  <c r="C101" i="1"/>
  <c r="E101" i="1"/>
  <c r="G101" i="1"/>
  <c r="C102" i="1"/>
  <c r="G102" i="1"/>
  <c r="C103" i="1"/>
  <c r="G103" i="1"/>
  <c r="C104" i="1"/>
  <c r="E104" i="1"/>
  <c r="G104" i="1"/>
  <c r="C105" i="1"/>
  <c r="E105" i="1"/>
  <c r="G105" i="1"/>
  <c r="C106" i="1"/>
  <c r="E106" i="1"/>
  <c r="G106" i="1"/>
  <c r="C107" i="1"/>
  <c r="E107" i="1"/>
  <c r="G107" i="1"/>
  <c r="C108" i="1"/>
  <c r="E108" i="1"/>
  <c r="G108" i="1"/>
  <c r="C109" i="1"/>
  <c r="E109" i="1"/>
  <c r="G109" i="1"/>
  <c r="C110" i="1"/>
  <c r="G110" i="1"/>
  <c r="C111" i="1"/>
  <c r="E111" i="1"/>
  <c r="G111" i="1"/>
  <c r="C112" i="1"/>
  <c r="E112" i="1"/>
  <c r="G112" i="1"/>
  <c r="C113" i="1"/>
  <c r="E113" i="1"/>
  <c r="G113" i="1"/>
  <c r="C114" i="1"/>
  <c r="E114" i="1"/>
  <c r="G114" i="1"/>
  <c r="C115" i="1"/>
  <c r="E115" i="1"/>
  <c r="G115" i="1"/>
  <c r="C116" i="1"/>
  <c r="E116" i="1"/>
  <c r="G116" i="1"/>
  <c r="C117" i="1"/>
  <c r="E117" i="1"/>
  <c r="G117" i="1"/>
  <c r="C118" i="1"/>
  <c r="E118" i="1"/>
  <c r="G118" i="1"/>
  <c r="C119" i="1"/>
  <c r="E119" i="1"/>
  <c r="G119" i="1"/>
  <c r="C120" i="1"/>
  <c r="E120" i="1"/>
  <c r="G120" i="1"/>
  <c r="C121" i="1"/>
  <c r="E121" i="1"/>
  <c r="G121" i="1"/>
  <c r="C122" i="1"/>
  <c r="E122" i="1"/>
  <c r="G122" i="1"/>
  <c r="C123" i="1"/>
  <c r="E123" i="1"/>
  <c r="G123" i="1"/>
  <c r="C124" i="1"/>
  <c r="E124" i="1"/>
  <c r="G124" i="1"/>
  <c r="C125" i="1"/>
  <c r="E125" i="1"/>
  <c r="G125" i="1"/>
  <c r="C126" i="1"/>
  <c r="E126" i="1"/>
  <c r="G126" i="1"/>
  <c r="C127" i="1"/>
  <c r="E127" i="1"/>
  <c r="G127" i="1"/>
  <c r="C128" i="1"/>
  <c r="E128" i="1"/>
  <c r="G128" i="1"/>
  <c r="C129" i="1"/>
  <c r="E129" i="1"/>
  <c r="G129" i="1"/>
  <c r="C130" i="1"/>
  <c r="E130" i="1"/>
  <c r="G130" i="1"/>
  <c r="C131" i="1"/>
  <c r="E131" i="1"/>
  <c r="G131" i="1"/>
  <c r="C132" i="1"/>
  <c r="E132" i="1"/>
  <c r="G132" i="1"/>
  <c r="C133" i="1"/>
  <c r="E133" i="1"/>
  <c r="G133" i="1"/>
  <c r="C134" i="1"/>
  <c r="E134" i="1"/>
  <c r="G134" i="1"/>
  <c r="C135" i="1"/>
  <c r="E135" i="1"/>
  <c r="G135" i="1"/>
  <c r="C136" i="1"/>
  <c r="E136" i="1"/>
  <c r="G136" i="1"/>
  <c r="C137" i="1"/>
  <c r="E137" i="1"/>
  <c r="G137" i="1"/>
  <c r="C138" i="1"/>
  <c r="E138" i="1"/>
  <c r="G138" i="1"/>
  <c r="C139" i="1"/>
  <c r="E139" i="1"/>
  <c r="G139" i="1"/>
  <c r="C140" i="1"/>
  <c r="E140" i="1"/>
  <c r="G140" i="1"/>
  <c r="C141" i="1"/>
  <c r="E141" i="1"/>
  <c r="G141" i="1"/>
  <c r="C142" i="1"/>
  <c r="E142" i="1"/>
  <c r="G142" i="1"/>
  <c r="C143" i="1"/>
  <c r="E143" i="1"/>
  <c r="G143" i="1"/>
  <c r="C144" i="1"/>
  <c r="E144" i="1"/>
  <c r="G144" i="1"/>
  <c r="C145" i="1"/>
  <c r="E145" i="1"/>
  <c r="G145" i="1"/>
  <c r="C146" i="1"/>
  <c r="E146" i="1"/>
  <c r="G146" i="1"/>
  <c r="C147" i="1"/>
  <c r="E147" i="1"/>
  <c r="G147" i="1"/>
  <c r="C148" i="1"/>
  <c r="E148" i="1"/>
  <c r="G148" i="1"/>
  <c r="C149" i="1"/>
  <c r="E149" i="1"/>
  <c r="G149" i="1"/>
  <c r="C150" i="1"/>
  <c r="E150" i="1"/>
  <c r="G150" i="1"/>
  <c r="C151" i="1"/>
  <c r="E151" i="1"/>
  <c r="G151" i="1"/>
  <c r="C152" i="1"/>
  <c r="E152" i="1"/>
  <c r="G152" i="1"/>
  <c r="C153" i="1"/>
  <c r="E153" i="1"/>
  <c r="G153" i="1"/>
  <c r="C154" i="1"/>
  <c r="E154" i="1"/>
  <c r="G154" i="1"/>
  <c r="C155" i="1"/>
  <c r="G155" i="1"/>
  <c r="C156" i="1"/>
  <c r="E156" i="1"/>
  <c r="G156" i="1"/>
  <c r="C157" i="1"/>
  <c r="E157" i="1"/>
  <c r="G157" i="1"/>
  <c r="C158" i="1"/>
  <c r="E158" i="1"/>
  <c r="G158" i="1"/>
  <c r="C159" i="1"/>
  <c r="E159" i="1"/>
  <c r="G159" i="1"/>
  <c r="C160" i="1"/>
  <c r="E160" i="1"/>
  <c r="G160" i="1"/>
  <c r="C161" i="1"/>
  <c r="E161" i="1"/>
  <c r="G161" i="1"/>
  <c r="C162" i="1"/>
  <c r="E162" i="1"/>
  <c r="G162" i="1"/>
  <c r="C163" i="1"/>
  <c r="E163" i="1"/>
  <c r="G163" i="1"/>
  <c r="C164" i="1"/>
  <c r="E164" i="1"/>
  <c r="G164" i="1"/>
  <c r="C165" i="1"/>
  <c r="E165" i="1"/>
  <c r="G165" i="1"/>
  <c r="C166" i="1"/>
  <c r="E166" i="1"/>
  <c r="G166" i="1"/>
  <c r="C167" i="1"/>
  <c r="G167" i="1"/>
  <c r="C168" i="1"/>
  <c r="E168" i="1"/>
  <c r="G168" i="1"/>
  <c r="C169" i="1"/>
  <c r="G169" i="1"/>
  <c r="C170" i="1"/>
  <c r="E170" i="1"/>
  <c r="G170" i="1"/>
  <c r="C171" i="1"/>
  <c r="E171" i="1"/>
  <c r="G171" i="1"/>
  <c r="C172" i="1"/>
  <c r="G172" i="1"/>
  <c r="C173" i="1"/>
  <c r="G173" i="1"/>
  <c r="C174" i="1"/>
  <c r="G174" i="1"/>
  <c r="C175" i="1"/>
  <c r="E175" i="1"/>
  <c r="G175" i="1"/>
  <c r="C176" i="1"/>
  <c r="G176" i="1"/>
  <c r="C177" i="1"/>
  <c r="E177" i="1"/>
  <c r="G177" i="1"/>
  <c r="C178" i="1"/>
  <c r="E178" i="1"/>
  <c r="G178" i="1"/>
  <c r="C179" i="1"/>
  <c r="E179" i="1"/>
  <c r="G179" i="1"/>
  <c r="C180" i="1"/>
  <c r="E180" i="1"/>
  <c r="G180" i="1"/>
  <c r="C181" i="1"/>
  <c r="E181" i="1"/>
  <c r="G181" i="1"/>
  <c r="C182" i="1"/>
  <c r="E182" i="1"/>
  <c r="G182" i="1"/>
  <c r="C183" i="1"/>
  <c r="E183" i="1"/>
  <c r="G183" i="1"/>
  <c r="C184" i="1"/>
  <c r="E184" i="1"/>
  <c r="G184" i="1"/>
  <c r="C185" i="1"/>
  <c r="E185" i="1"/>
  <c r="G185" i="1"/>
  <c r="C186" i="1"/>
  <c r="E186" i="1"/>
  <c r="G186" i="1"/>
  <c r="C187" i="1"/>
  <c r="E187" i="1"/>
  <c r="G187" i="1"/>
  <c r="C188" i="1"/>
  <c r="E188" i="1"/>
  <c r="G188" i="1"/>
  <c r="C189" i="1"/>
  <c r="E189" i="1"/>
  <c r="G189" i="1"/>
  <c r="C190" i="1"/>
  <c r="E190" i="1"/>
  <c r="G190" i="1"/>
  <c r="C191" i="1"/>
  <c r="E191" i="1"/>
  <c r="G191" i="1"/>
  <c r="C192" i="1"/>
  <c r="G192" i="1"/>
  <c r="C193" i="1"/>
  <c r="E193" i="1"/>
  <c r="G193" i="1"/>
  <c r="C194" i="1"/>
  <c r="E194" i="1"/>
  <c r="G194" i="1"/>
  <c r="C195" i="1"/>
  <c r="E195" i="1"/>
  <c r="G195" i="1"/>
  <c r="C196" i="1"/>
  <c r="G196" i="1"/>
  <c r="C197" i="1"/>
  <c r="E197" i="1"/>
  <c r="G197" i="1"/>
  <c r="C198" i="1"/>
  <c r="E198" i="1"/>
  <c r="G198" i="1"/>
  <c r="C199" i="1"/>
  <c r="E199" i="1"/>
  <c r="G199" i="1"/>
  <c r="C200" i="1"/>
  <c r="E200" i="1"/>
  <c r="G200" i="1"/>
  <c r="C201" i="1"/>
  <c r="E201" i="1"/>
  <c r="G201" i="1"/>
  <c r="C202" i="1"/>
  <c r="E202" i="1"/>
  <c r="G202" i="1"/>
  <c r="C203" i="1"/>
  <c r="E203" i="1"/>
  <c r="G203" i="1"/>
  <c r="C204" i="1"/>
  <c r="E204" i="1"/>
  <c r="G204" i="1"/>
  <c r="C205" i="1"/>
  <c r="E205" i="1"/>
  <c r="G205" i="1"/>
  <c r="C206" i="1"/>
  <c r="E206" i="1"/>
  <c r="G206" i="1"/>
  <c r="C207" i="1"/>
  <c r="E207" i="1"/>
  <c r="G207" i="1"/>
  <c r="C208" i="1"/>
  <c r="E208" i="1"/>
  <c r="G208" i="1"/>
  <c r="C209" i="1"/>
  <c r="E209" i="1"/>
  <c r="G209" i="1"/>
  <c r="C210" i="1"/>
  <c r="E210" i="1"/>
  <c r="G210" i="1"/>
  <c r="C211" i="1"/>
  <c r="E211" i="1"/>
  <c r="G211" i="1"/>
  <c r="C212" i="1"/>
  <c r="E212" i="1"/>
  <c r="G212" i="1"/>
  <c r="C213" i="1"/>
  <c r="E213" i="1"/>
  <c r="G213" i="1"/>
  <c r="C214" i="1"/>
  <c r="E214" i="1"/>
  <c r="G214" i="1"/>
  <c r="C215" i="1"/>
  <c r="E215" i="1"/>
  <c r="G215" i="1"/>
  <c r="C216" i="1"/>
  <c r="E216" i="1"/>
  <c r="G216" i="1"/>
  <c r="C217" i="1"/>
  <c r="E217" i="1"/>
  <c r="G217" i="1"/>
  <c r="C218" i="1"/>
  <c r="E218" i="1"/>
  <c r="G218" i="1"/>
  <c r="C219" i="1"/>
  <c r="E219" i="1"/>
  <c r="G219" i="1"/>
  <c r="C220" i="1"/>
  <c r="E220" i="1"/>
  <c r="G220" i="1"/>
  <c r="C221" i="1"/>
  <c r="E221" i="1"/>
  <c r="G221" i="1"/>
  <c r="C222" i="1"/>
  <c r="E222" i="1"/>
  <c r="G222" i="1"/>
  <c r="C223" i="1"/>
  <c r="E223" i="1"/>
  <c r="G223" i="1"/>
  <c r="C224" i="1"/>
  <c r="E224" i="1"/>
  <c r="G224" i="1"/>
  <c r="C225" i="1"/>
  <c r="E225" i="1"/>
  <c r="G225" i="1"/>
  <c r="C226" i="1"/>
  <c r="E226" i="1"/>
  <c r="G226" i="1"/>
  <c r="C227" i="1"/>
  <c r="E227" i="1"/>
  <c r="G227" i="1"/>
  <c r="C228" i="1"/>
  <c r="E228" i="1"/>
  <c r="G228" i="1"/>
  <c r="C229" i="1"/>
  <c r="E229" i="1"/>
  <c r="G229" i="1"/>
  <c r="C230" i="1"/>
  <c r="E230" i="1"/>
  <c r="G230" i="1"/>
  <c r="C231" i="1"/>
  <c r="E231" i="1"/>
  <c r="G231" i="1"/>
  <c r="C232" i="1"/>
  <c r="E232" i="1"/>
  <c r="G232" i="1"/>
  <c r="C233" i="1"/>
  <c r="E233" i="1"/>
  <c r="G233" i="1"/>
  <c r="C234" i="1"/>
  <c r="E234" i="1"/>
  <c r="G234" i="1"/>
  <c r="C235" i="1"/>
  <c r="E235" i="1"/>
  <c r="G235" i="1"/>
  <c r="C236" i="1"/>
  <c r="G236" i="1"/>
  <c r="C237" i="1"/>
  <c r="E237" i="1"/>
  <c r="G237" i="1"/>
  <c r="C238" i="1"/>
  <c r="E238" i="1"/>
  <c r="G238" i="1"/>
  <c r="C239" i="1"/>
  <c r="E239" i="1"/>
  <c r="G239" i="1"/>
  <c r="C240" i="1"/>
  <c r="E240" i="1"/>
  <c r="G240" i="1"/>
  <c r="C241" i="1"/>
  <c r="E241" i="1"/>
  <c r="G241" i="1"/>
  <c r="C242" i="1"/>
  <c r="G242" i="1"/>
  <c r="C243" i="1"/>
  <c r="E243" i="1"/>
  <c r="G243" i="1"/>
  <c r="C244" i="1"/>
  <c r="E244" i="1"/>
  <c r="G244" i="1"/>
  <c r="C245" i="1"/>
  <c r="G245" i="1"/>
  <c r="C246" i="1"/>
  <c r="E246" i="1"/>
  <c r="G246" i="1"/>
  <c r="C247" i="1"/>
  <c r="E247" i="1"/>
  <c r="G247" i="1"/>
  <c r="C248" i="1"/>
  <c r="G248" i="1"/>
  <c r="C249" i="1"/>
  <c r="E249" i="1"/>
  <c r="G249" i="1"/>
  <c r="C250" i="1"/>
  <c r="E250" i="1"/>
  <c r="G250" i="1"/>
  <c r="C251" i="1"/>
  <c r="E251" i="1"/>
  <c r="G251" i="1"/>
  <c r="C252" i="1"/>
  <c r="G252" i="1"/>
  <c r="C253" i="1"/>
  <c r="G253" i="1"/>
  <c r="C254" i="1"/>
  <c r="E254" i="1"/>
  <c r="G254" i="1"/>
  <c r="C255" i="1"/>
  <c r="E255" i="1"/>
  <c r="G255" i="1"/>
  <c r="C256" i="1"/>
  <c r="E256" i="1"/>
  <c r="G256" i="1"/>
  <c r="C257" i="1"/>
  <c r="E257" i="1"/>
  <c r="G257" i="1"/>
  <c r="C258" i="1"/>
  <c r="E258" i="1"/>
  <c r="G258" i="1"/>
  <c r="C259" i="1"/>
  <c r="E259" i="1"/>
  <c r="G259" i="1"/>
  <c r="C260" i="1"/>
  <c r="E260" i="1"/>
  <c r="G260" i="1"/>
  <c r="C261" i="1"/>
  <c r="E261" i="1"/>
  <c r="G261" i="1"/>
  <c r="C262" i="1"/>
  <c r="E262" i="1"/>
  <c r="G262" i="1"/>
  <c r="C263" i="1"/>
  <c r="E263" i="1"/>
  <c r="G263" i="1"/>
  <c r="C264" i="1"/>
  <c r="G264" i="1"/>
  <c r="C265" i="1"/>
  <c r="E265" i="1"/>
  <c r="G265" i="1"/>
  <c r="C266" i="1"/>
  <c r="E266" i="1"/>
  <c r="G266" i="1"/>
  <c r="C267" i="1"/>
  <c r="E267" i="1"/>
  <c r="G267" i="1"/>
  <c r="C268" i="1"/>
  <c r="E268" i="1"/>
  <c r="G268" i="1"/>
  <c r="C269" i="1"/>
  <c r="E269" i="1"/>
  <c r="G269" i="1"/>
  <c r="C270" i="1"/>
  <c r="E270" i="1"/>
  <c r="G270" i="1"/>
  <c r="C271" i="1"/>
  <c r="E271" i="1"/>
  <c r="G271" i="1"/>
  <c r="C272" i="1"/>
  <c r="E272" i="1"/>
  <c r="G272" i="1"/>
  <c r="C273" i="1"/>
  <c r="E273" i="1"/>
  <c r="G273" i="1"/>
  <c r="C274" i="1"/>
  <c r="E274" i="1"/>
  <c r="G274" i="1"/>
  <c r="C275" i="1"/>
  <c r="E275" i="1"/>
  <c r="G275" i="1"/>
  <c r="C276" i="1"/>
  <c r="E276" i="1"/>
  <c r="G276" i="1"/>
  <c r="C277" i="1"/>
  <c r="E277" i="1"/>
  <c r="G277" i="1"/>
  <c r="C278" i="1"/>
  <c r="E278" i="1"/>
  <c r="G278" i="1"/>
  <c r="C279" i="1"/>
  <c r="E279" i="1"/>
  <c r="G279" i="1"/>
  <c r="C280" i="1"/>
  <c r="E280" i="1"/>
  <c r="G280" i="1"/>
  <c r="C281" i="1"/>
  <c r="E281" i="1"/>
  <c r="G281" i="1"/>
  <c r="C282" i="1"/>
  <c r="E282" i="1"/>
  <c r="G282" i="1"/>
  <c r="C283" i="1"/>
  <c r="E283" i="1"/>
  <c r="G283" i="1"/>
  <c r="C284" i="1"/>
  <c r="E284" i="1"/>
  <c r="G284" i="1"/>
  <c r="C285" i="1"/>
  <c r="E285" i="1"/>
  <c r="G285" i="1"/>
  <c r="C286" i="1"/>
  <c r="G286" i="1"/>
  <c r="C287" i="1"/>
  <c r="G287" i="1"/>
  <c r="C288" i="1"/>
  <c r="G288" i="1"/>
  <c r="C289" i="1"/>
  <c r="G289" i="1"/>
  <c r="C290" i="1"/>
  <c r="G290" i="1"/>
  <c r="C291" i="1"/>
  <c r="E291" i="1"/>
  <c r="G291" i="1"/>
  <c r="C292" i="1"/>
  <c r="G292" i="1"/>
  <c r="C293" i="1"/>
  <c r="E293" i="1"/>
  <c r="G293" i="1"/>
  <c r="C294" i="1"/>
  <c r="E294" i="1"/>
  <c r="G294" i="1"/>
  <c r="C295" i="1"/>
  <c r="E295" i="1"/>
  <c r="G295" i="1"/>
  <c r="C296" i="1"/>
  <c r="E296" i="1"/>
  <c r="G296" i="1"/>
  <c r="C297" i="1"/>
  <c r="E297" i="1"/>
  <c r="G297" i="1"/>
  <c r="C298" i="1"/>
  <c r="E298" i="1"/>
  <c r="G298" i="1"/>
  <c r="C299" i="1"/>
  <c r="E299" i="1"/>
  <c r="G299" i="1"/>
  <c r="C300" i="1"/>
  <c r="E300" i="1"/>
  <c r="G300" i="1"/>
  <c r="C301" i="1"/>
  <c r="E301" i="1"/>
  <c r="G301" i="1"/>
  <c r="C302" i="1"/>
  <c r="E302" i="1"/>
  <c r="G302" i="1"/>
  <c r="C303" i="1"/>
  <c r="E303" i="1"/>
  <c r="G303" i="1"/>
  <c r="C304" i="1"/>
  <c r="E304" i="1"/>
  <c r="G304" i="1"/>
  <c r="C305" i="1"/>
  <c r="E305" i="1"/>
  <c r="G305" i="1"/>
  <c r="C306" i="1"/>
  <c r="E306" i="1"/>
  <c r="G306" i="1"/>
  <c r="C307" i="1"/>
  <c r="E307" i="1"/>
  <c r="G307" i="1"/>
  <c r="C308" i="1"/>
  <c r="E308" i="1"/>
  <c r="G308" i="1"/>
  <c r="C309" i="1"/>
  <c r="E309" i="1"/>
  <c r="G309" i="1"/>
  <c r="C310" i="1"/>
  <c r="E310" i="1"/>
  <c r="G310" i="1"/>
  <c r="C311" i="1"/>
  <c r="E311" i="1"/>
  <c r="G311" i="1"/>
  <c r="C312" i="1"/>
  <c r="E312" i="1"/>
  <c r="G312" i="1"/>
  <c r="C313" i="1"/>
  <c r="E313" i="1"/>
  <c r="G313" i="1"/>
  <c r="C314" i="1"/>
  <c r="G314" i="1"/>
  <c r="C315" i="1"/>
  <c r="E315" i="1"/>
  <c r="G315" i="1"/>
  <c r="C316" i="1"/>
  <c r="E316" i="1"/>
  <c r="G316" i="1"/>
  <c r="C317" i="1"/>
  <c r="E317" i="1"/>
  <c r="G317" i="1"/>
  <c r="C318" i="1"/>
  <c r="E318" i="1"/>
  <c r="G318" i="1"/>
  <c r="C319" i="1"/>
  <c r="E319" i="1"/>
  <c r="G319" i="1"/>
  <c r="C320" i="1"/>
  <c r="E320" i="1"/>
  <c r="G320" i="1"/>
  <c r="C321" i="1"/>
  <c r="E321" i="1"/>
  <c r="G321" i="1"/>
  <c r="C322" i="1"/>
  <c r="G322" i="1"/>
  <c r="C323" i="1"/>
  <c r="E323" i="1"/>
  <c r="G323" i="1"/>
  <c r="C324" i="1"/>
  <c r="E324" i="1"/>
  <c r="G324" i="1"/>
  <c r="C325" i="1"/>
  <c r="E325" i="1"/>
  <c r="G325" i="1"/>
  <c r="C326" i="1"/>
  <c r="E326" i="1"/>
  <c r="G326" i="1"/>
  <c r="C327" i="1"/>
  <c r="E327" i="1"/>
  <c r="G327" i="1"/>
  <c r="C328" i="1"/>
  <c r="E328" i="1"/>
  <c r="G328" i="1"/>
  <c r="C329" i="1"/>
  <c r="E329" i="1"/>
  <c r="G329" i="1"/>
  <c r="C330" i="1"/>
  <c r="E330" i="1"/>
  <c r="G330" i="1"/>
  <c r="C331" i="1"/>
  <c r="E331" i="1"/>
  <c r="G331" i="1"/>
  <c r="C332" i="1"/>
  <c r="E332" i="1"/>
  <c r="G332" i="1"/>
  <c r="C333" i="1"/>
  <c r="G333" i="1"/>
  <c r="C334" i="1"/>
  <c r="E334" i="1"/>
  <c r="G334" i="1"/>
  <c r="C335" i="1"/>
  <c r="G335" i="1"/>
  <c r="C336" i="1"/>
  <c r="E336" i="1"/>
  <c r="G336" i="1"/>
  <c r="C337" i="1"/>
  <c r="G337" i="1"/>
  <c r="C338" i="1"/>
  <c r="G338" i="1"/>
  <c r="C339" i="1"/>
  <c r="E339" i="1"/>
  <c r="G339" i="1"/>
  <c r="C340" i="1"/>
  <c r="E340" i="1"/>
  <c r="G340" i="1"/>
  <c r="C341" i="1"/>
  <c r="E341" i="1"/>
  <c r="G341" i="1"/>
  <c r="C342" i="1"/>
  <c r="G342" i="1"/>
  <c r="C343" i="1"/>
  <c r="G343" i="1"/>
  <c r="C344" i="1"/>
  <c r="E344" i="1"/>
  <c r="G344" i="1"/>
  <c r="C345" i="1"/>
  <c r="E345" i="1"/>
  <c r="G345" i="1"/>
  <c r="C346" i="1"/>
  <c r="E346" i="1"/>
  <c r="G346" i="1"/>
  <c r="C347" i="1"/>
  <c r="E347" i="1"/>
  <c r="G347" i="1"/>
  <c r="C348" i="1"/>
  <c r="E348" i="1"/>
  <c r="G348" i="1"/>
  <c r="C349" i="1"/>
  <c r="E349" i="1"/>
  <c r="G349" i="1"/>
  <c r="C350" i="1"/>
  <c r="E350" i="1"/>
  <c r="G350" i="1"/>
  <c r="C351" i="1"/>
  <c r="E351" i="1"/>
  <c r="G351" i="1"/>
  <c r="C352" i="1"/>
  <c r="E352" i="1"/>
  <c r="G352" i="1"/>
  <c r="C353" i="1"/>
  <c r="E353" i="1"/>
  <c r="G353" i="1"/>
  <c r="C354" i="1"/>
  <c r="E354" i="1"/>
  <c r="G354" i="1"/>
  <c r="C355" i="1"/>
  <c r="E355" i="1"/>
  <c r="G355" i="1"/>
  <c r="C356" i="1"/>
  <c r="E356" i="1"/>
  <c r="G356" i="1"/>
  <c r="C357" i="1"/>
  <c r="E357" i="1"/>
  <c r="G357" i="1"/>
  <c r="C358" i="1"/>
  <c r="E358" i="1"/>
  <c r="G358" i="1"/>
  <c r="C359" i="1"/>
  <c r="E359" i="1"/>
  <c r="G359" i="1"/>
  <c r="C360" i="1"/>
  <c r="E360" i="1"/>
  <c r="G360" i="1"/>
  <c r="C361" i="1"/>
  <c r="E361" i="1"/>
  <c r="G361" i="1"/>
  <c r="C362" i="1"/>
  <c r="E362" i="1"/>
  <c r="G362" i="1"/>
  <c r="C363" i="1"/>
  <c r="E363" i="1"/>
  <c r="G363" i="1"/>
  <c r="C364" i="1"/>
  <c r="E364" i="1"/>
  <c r="G364" i="1"/>
  <c r="C365" i="1"/>
  <c r="E365" i="1"/>
  <c r="G365" i="1"/>
  <c r="C366" i="1"/>
  <c r="E366" i="1"/>
  <c r="G366" i="1"/>
  <c r="C367" i="1"/>
  <c r="E367" i="1"/>
  <c r="G367" i="1"/>
  <c r="C368" i="1"/>
  <c r="E368" i="1"/>
  <c r="G368" i="1"/>
  <c r="C369" i="1"/>
  <c r="E369" i="1"/>
  <c r="G369" i="1"/>
  <c r="C370" i="1"/>
  <c r="E370" i="1"/>
  <c r="G370" i="1"/>
  <c r="C371" i="1"/>
  <c r="E371" i="1"/>
  <c r="G371" i="1"/>
  <c r="C372" i="1"/>
  <c r="E372" i="1"/>
  <c r="G372" i="1"/>
  <c r="C373" i="1"/>
  <c r="E373" i="1"/>
  <c r="G373" i="1"/>
  <c r="C374" i="1"/>
  <c r="E374" i="1"/>
  <c r="G374" i="1"/>
  <c r="C375" i="1"/>
  <c r="E375" i="1"/>
  <c r="G375" i="1"/>
  <c r="C376" i="1"/>
  <c r="E376" i="1"/>
  <c r="G376" i="1"/>
  <c r="C377" i="1"/>
  <c r="E377" i="1"/>
  <c r="G377" i="1"/>
  <c r="C378" i="1"/>
  <c r="E378" i="1"/>
  <c r="G378" i="1"/>
  <c r="C379" i="1"/>
  <c r="E379" i="1"/>
  <c r="G379" i="1"/>
  <c r="C380" i="1"/>
  <c r="E380" i="1"/>
  <c r="G380" i="1"/>
  <c r="C381" i="1"/>
  <c r="E381" i="1"/>
  <c r="G381" i="1"/>
  <c r="C382" i="1"/>
  <c r="E382" i="1"/>
  <c r="G382" i="1"/>
  <c r="C383" i="1"/>
  <c r="E383" i="1"/>
  <c r="G383" i="1"/>
  <c r="C384" i="1"/>
  <c r="E384" i="1"/>
  <c r="G384" i="1"/>
  <c r="C385" i="1"/>
  <c r="E385" i="1"/>
  <c r="G385" i="1"/>
  <c r="C386" i="1"/>
  <c r="G386" i="1"/>
  <c r="C387" i="1"/>
  <c r="G387" i="1"/>
  <c r="C388" i="1"/>
  <c r="E388" i="1"/>
  <c r="G388" i="1"/>
  <c r="C389" i="1"/>
  <c r="G389" i="1"/>
  <c r="C390" i="1"/>
  <c r="E390" i="1"/>
  <c r="G390" i="1"/>
  <c r="C391" i="1"/>
  <c r="E391" i="1"/>
  <c r="G391" i="1"/>
  <c r="C392" i="1"/>
  <c r="E392" i="1"/>
  <c r="G392" i="1"/>
  <c r="C393" i="1"/>
  <c r="E393" i="1"/>
  <c r="G393" i="1"/>
  <c r="C394" i="1"/>
  <c r="E394" i="1"/>
  <c r="G394" i="1"/>
  <c r="C395" i="1"/>
  <c r="E395" i="1"/>
  <c r="G395" i="1"/>
  <c r="C396" i="1"/>
  <c r="E396" i="1"/>
  <c r="G396" i="1"/>
  <c r="C397" i="1"/>
  <c r="E397" i="1"/>
  <c r="G397" i="1"/>
  <c r="C398" i="1"/>
  <c r="E398" i="1"/>
  <c r="G398" i="1"/>
  <c r="C399" i="1"/>
  <c r="E399" i="1"/>
  <c r="G399" i="1"/>
  <c r="C400" i="1"/>
  <c r="E400" i="1"/>
  <c r="G400" i="1"/>
  <c r="C401" i="1"/>
  <c r="G401" i="1"/>
  <c r="C402" i="1"/>
  <c r="E402" i="1"/>
  <c r="G402" i="1"/>
  <c r="C403" i="1"/>
  <c r="G403" i="1"/>
  <c r="C404" i="1"/>
  <c r="G404" i="1"/>
  <c r="C405" i="1"/>
  <c r="G405" i="1"/>
  <c r="C406" i="1"/>
  <c r="G406" i="1"/>
  <c r="C407" i="1"/>
  <c r="E407" i="1"/>
  <c r="G407" i="1"/>
  <c r="C408" i="1"/>
  <c r="E408" i="1"/>
  <c r="G408" i="1"/>
  <c r="C409" i="1"/>
  <c r="E409" i="1"/>
  <c r="G409" i="1"/>
  <c r="C410" i="1"/>
  <c r="G410" i="1"/>
  <c r="C411" i="1"/>
  <c r="G411" i="1"/>
  <c r="C412" i="1"/>
  <c r="G412" i="1"/>
  <c r="C413" i="1"/>
  <c r="E413" i="1"/>
  <c r="G413" i="1"/>
  <c r="C414" i="1"/>
  <c r="G414" i="1"/>
  <c r="C415" i="1"/>
  <c r="E415" i="1"/>
  <c r="G415" i="1"/>
  <c r="C416" i="1"/>
  <c r="G416" i="1"/>
  <c r="C417" i="1"/>
  <c r="E417" i="1"/>
  <c r="G417" i="1"/>
  <c r="C418" i="1"/>
  <c r="E418" i="1"/>
  <c r="G418" i="1"/>
  <c r="C419" i="1"/>
  <c r="E419" i="1"/>
  <c r="G419" i="1"/>
  <c r="C420" i="1"/>
  <c r="E420" i="1"/>
  <c r="G420" i="1"/>
  <c r="C421" i="1"/>
  <c r="G421" i="1"/>
  <c r="C422" i="1"/>
  <c r="G422" i="1"/>
  <c r="C423" i="1"/>
  <c r="G423" i="1"/>
  <c r="C424" i="1"/>
  <c r="G424" i="1"/>
  <c r="C425" i="1"/>
  <c r="G425" i="1"/>
  <c r="C426" i="1"/>
  <c r="G426" i="1"/>
  <c r="C427" i="1"/>
  <c r="G427" i="1"/>
  <c r="C428" i="1"/>
  <c r="G428" i="1"/>
  <c r="C429" i="1"/>
  <c r="G429" i="1"/>
  <c r="C430" i="1"/>
  <c r="E430" i="1"/>
  <c r="G430" i="1"/>
  <c r="C431" i="1"/>
  <c r="G431" i="1"/>
  <c r="C432" i="1"/>
  <c r="G432" i="1"/>
  <c r="C433" i="1"/>
  <c r="E433" i="1"/>
  <c r="G433" i="1"/>
  <c r="C434" i="1"/>
  <c r="E434" i="1"/>
  <c r="G434" i="1"/>
  <c r="C435" i="1"/>
  <c r="E435" i="1"/>
  <c r="G435" i="1"/>
  <c r="C436" i="1"/>
  <c r="E436" i="1"/>
  <c r="G436" i="1"/>
  <c r="C437" i="1"/>
  <c r="E437" i="1"/>
  <c r="G437" i="1"/>
  <c r="C438" i="1"/>
  <c r="E438" i="1"/>
  <c r="G438" i="1"/>
  <c r="C439" i="1"/>
  <c r="E439" i="1"/>
  <c r="G439" i="1"/>
  <c r="C440" i="1"/>
  <c r="E440" i="1"/>
  <c r="G440" i="1"/>
  <c r="C441" i="1"/>
  <c r="E441" i="1"/>
  <c r="G441" i="1"/>
  <c r="C442" i="1"/>
  <c r="E442" i="1"/>
  <c r="G442" i="1"/>
  <c r="C443" i="1"/>
  <c r="E443" i="1"/>
  <c r="G443" i="1"/>
  <c r="C444" i="1"/>
  <c r="E444" i="1"/>
  <c r="G444" i="1"/>
  <c r="C445" i="1"/>
  <c r="G445" i="1"/>
  <c r="C446" i="1"/>
  <c r="E446" i="1"/>
  <c r="G446" i="1"/>
  <c r="C447" i="1"/>
  <c r="E447" i="1"/>
  <c r="G447" i="1"/>
  <c r="C448" i="1"/>
  <c r="E448" i="1"/>
  <c r="G448" i="1"/>
  <c r="C449" i="1"/>
  <c r="G449" i="1"/>
  <c r="C450" i="1"/>
  <c r="G450" i="1"/>
  <c r="C451" i="1"/>
  <c r="E451" i="1"/>
  <c r="G451" i="1"/>
  <c r="C452" i="1"/>
  <c r="G452" i="1"/>
  <c r="C453" i="1"/>
  <c r="G453" i="1"/>
  <c r="C454" i="1"/>
  <c r="G454" i="1"/>
  <c r="C455" i="1"/>
  <c r="G455" i="1"/>
  <c r="C456" i="1"/>
  <c r="G456" i="1"/>
  <c r="C457" i="1"/>
  <c r="G457" i="1"/>
  <c r="C458" i="1"/>
  <c r="G458" i="1"/>
  <c r="C459" i="1"/>
  <c r="E459" i="1"/>
  <c r="G459" i="1"/>
  <c r="C460" i="1"/>
  <c r="G460" i="1"/>
  <c r="C461" i="1"/>
  <c r="G461" i="1"/>
  <c r="C462" i="1"/>
  <c r="G462" i="1"/>
  <c r="C463" i="1"/>
  <c r="G463" i="1"/>
  <c r="C464" i="1"/>
  <c r="G464" i="1"/>
  <c r="C465" i="1"/>
  <c r="G465" i="1"/>
  <c r="C466" i="1"/>
  <c r="G466" i="1"/>
  <c r="C467" i="1"/>
  <c r="E467" i="1"/>
  <c r="G467" i="1"/>
  <c r="C468" i="1"/>
  <c r="G468" i="1"/>
  <c r="C469" i="1"/>
  <c r="G469" i="1"/>
  <c r="C470" i="1"/>
  <c r="G470" i="1"/>
  <c r="C471" i="1"/>
  <c r="G471" i="1"/>
  <c r="C472" i="1"/>
  <c r="G472" i="1"/>
  <c r="C473" i="1"/>
  <c r="G473" i="1"/>
  <c r="C474" i="1"/>
  <c r="G474" i="1"/>
  <c r="C475" i="1"/>
  <c r="G475" i="1"/>
  <c r="C476" i="1"/>
  <c r="G476" i="1"/>
  <c r="C477" i="1"/>
  <c r="G477" i="1"/>
  <c r="C478" i="1"/>
  <c r="G478" i="1"/>
  <c r="C479" i="1"/>
  <c r="G479" i="1"/>
  <c r="C480" i="1"/>
  <c r="G480" i="1"/>
  <c r="C481" i="1"/>
  <c r="G481" i="1"/>
  <c r="C482" i="1"/>
  <c r="G482" i="1"/>
  <c r="C483" i="1"/>
  <c r="G483" i="1"/>
  <c r="C484" i="1"/>
  <c r="G484" i="1"/>
  <c r="C485" i="1"/>
  <c r="G485" i="1"/>
  <c r="C486" i="1"/>
  <c r="G486" i="1"/>
  <c r="C487" i="1"/>
  <c r="G487" i="1"/>
  <c r="C488" i="1"/>
  <c r="G488" i="1"/>
</calcChain>
</file>

<file path=xl/sharedStrings.xml><?xml version="1.0" encoding="utf-8"?>
<sst xmlns="http://schemas.openxmlformats.org/spreadsheetml/2006/main" count="2630" uniqueCount="749">
  <si>
    <t>Dispensa/Inexigibilidade de Licitação</t>
  </si>
  <si>
    <t>Preceito Legal</t>
  </si>
  <si>
    <t>Numero do Processo</t>
  </si>
  <si>
    <t>Data do Empenho</t>
  </si>
  <si>
    <t>Objeto</t>
  </si>
  <si>
    <t>Elemento e SubElemento da Despesa</t>
  </si>
  <si>
    <t>Número do Empenho</t>
  </si>
  <si>
    <t>Valor do Empenho</t>
  </si>
  <si>
    <t>Contratado(a)</t>
  </si>
  <si>
    <t>CNPJ/CPF</t>
  </si>
  <si>
    <t>(a)</t>
  </si>
  <si>
    <t>(b)</t>
  </si>
  <si>
    <t>(c)</t>
  </si>
  <si>
    <t>(d)</t>
  </si>
  <si>
    <t>(e)</t>
  </si>
  <si>
    <t>(f)</t>
  </si>
  <si>
    <t>(g)</t>
  </si>
  <si>
    <t>(h)</t>
  </si>
  <si>
    <t>(i)</t>
  </si>
  <si>
    <t>(j)</t>
  </si>
  <si>
    <t>INEXIGIBILIDADE</t>
  </si>
  <si>
    <t>Lei n° 14.133/2021, Art. 74</t>
  </si>
  <si>
    <t>09.2024.00002055-3</t>
  </si>
  <si>
    <t>FORNECIMENTO DE ÁGUA PARA PROMOTORIA DE JUSTIÇA DE MORADA NOVA POR ESTIMATIVA RELATIVO AOS MESES DE JANEIRO A MARÇO DE 2024.</t>
  </si>
  <si>
    <t>2024NE000002</t>
  </si>
  <si>
    <t xml:space="preserve">SAAE DE MORADA NOVA                     </t>
  </si>
  <si>
    <t>7676836000150</t>
  </si>
  <si>
    <t>09.2024.00002056-4</t>
  </si>
  <si>
    <t>FORNECIMENTO DE ÁGUA PARA PROMOTORIA DE JUSTIÇA DE QUIXERAMOBIM POR ESTIMATIVA RELATIVO AOS MESES DE JANEIRO A MARÇO DE 2024</t>
  </si>
  <si>
    <t>2024NE000003</t>
  </si>
  <si>
    <t>SERVICO AUTONOMO DE AGUA E ESGOTO DE QUIXERAMOBIM</t>
  </si>
  <si>
    <t>7742778000115</t>
  </si>
  <si>
    <t>SERVIÇOS DE SUPORTE TÉCNICO DA SOLUÇÃO GUARDIÃO WEB-BY, CONMFORME CONTRATO 02/2021 E PROJETO 19/2023. POR ESTIMATIVA  PARA OS MESES DE JANEIRO A MARÇO DE 2024.</t>
  </si>
  <si>
    <t>DIGITRO TECNOLOGIA S.A.</t>
  </si>
  <si>
    <t>83472803000176</t>
  </si>
  <si>
    <t>09.2024.00002054-2</t>
  </si>
  <si>
    <t>FORNECIMENTO DE ÁGUA PARA PROMOTORIA DE JUSTIÇA DE LIMOEIRO DO NORTE POR ESTIMATIVA RELATIVO AOS MESES DE JANEIRO A MARÇO DE 2024</t>
  </si>
  <si>
    <t>2024NE000004</t>
  </si>
  <si>
    <t>SERVIÇO AUTÔNOMO DE ÁGUA E ESGOTO DE LIMOEIRO DO NORTE</t>
  </si>
  <si>
    <t>7625932000179</t>
  </si>
  <si>
    <t>09.2024.00002053-1</t>
  </si>
  <si>
    <t>FORNECIMENTO DE ÁGUA PARA PROMOTORIA DE JUSTIÇA DE JUCÁS POR ESTIMATIVA RELATIVO AOS MESES DE JANEIRO A MARÇO DE 2024</t>
  </si>
  <si>
    <t>2024NE000005</t>
  </si>
  <si>
    <t>SAAE DE JUCAS</t>
  </si>
  <si>
    <t>7434954000151</t>
  </si>
  <si>
    <t>DISPENSA</t>
  </si>
  <si>
    <t xml:space="preserve">Lei n° 14.133/2021, </t>
  </si>
  <si>
    <t>09.2021.00015712-5</t>
  </si>
  <si>
    <t>SEGUROS DE VIDA DOS ESTAGIÁRIOS DESTE MP-CE, RELATIVOS AOS MESES DE JANEIRO A MARÇO/2024 POR ESTIMATIVA, CONFORME CONTRATO 32/2021 E PROJETO 27/2023</t>
  </si>
  <si>
    <t>SEGUROS SURA S.A</t>
  </si>
  <si>
    <t>33065699000127</t>
  </si>
  <si>
    <t>ESTIMATIVO</t>
  </si>
  <si>
    <t>http://www8.mpce.mp.br/Empenhos/150001/NE/2024NE000002.pdf</t>
  </si>
  <si>
    <t/>
  </si>
  <si>
    <t>https://transparencia-area-fim.mpce.mp.br/#/consulta/processo/pastadigital/092024000020553</t>
  </si>
  <si>
    <t>http://www8.mpce.mp.br/Empenhos/150001/NE/2024NE000003.pdf</t>
  </si>
  <si>
    <t>https://transparencia-area-fim.mpce.mp.br/#/consulta/processo/pastadigital/092024000020564</t>
  </si>
  <si>
    <t>http://www8.mpce.mp.br/Empenhos/150501/NE/2024NE000003.pdf</t>
  </si>
  <si>
    <t>002/2021</t>
  </si>
  <si>
    <t>http://www8.mpce.mp.br/Empenhos/150001/NE/2024NE000004.pdf</t>
  </si>
  <si>
    <t>https://transparencia-area-fim.mpce.mp.br/#/consulta/processo/pastadigital/092024000020542</t>
  </si>
  <si>
    <t>http://www8.mpce.mp.br/Empenhos/150001/NE/2024NE000005.pdf</t>
  </si>
  <si>
    <t>https://transparencia-area-fim.mpce.mp.br/#/consulta/processo/pastadigital/092024000020531</t>
  </si>
  <si>
    <t>http://www8.mpce.mp.br/Empenhos/150501/NE/2024NE000005.pdf</t>
  </si>
  <si>
    <t>032/2021</t>
  </si>
  <si>
    <t>https://transparencia-area-fim.mpce.mp.br/#/consulta/processo/pastadigital/092021000157125</t>
  </si>
  <si>
    <t>09.2020.00000045-6</t>
  </si>
  <si>
    <t>https://transparencia-area-fim.mpce.mp.br/#/consulta/processo/pastadigital/092020000000456</t>
  </si>
  <si>
    <t>https://www8.mpce.mp.br/Empenhos/150001/Objeto/02-2021.pdf</t>
  </si>
  <si>
    <t>https://www8.mpce.mp.br/Empenhos/150001/Objeto/32-2021.pdf</t>
  </si>
  <si>
    <t>339039 - 14 - 2184.44</t>
  </si>
  <si>
    <t>339040 - 78 - 3080.07</t>
  </si>
  <si>
    <t>339039 - 14 - 2226.86</t>
  </si>
  <si>
    <t>FORNECIMENTO DE ÁGUA PARA PROMOTORIA DE JUSTIÇA DE JARDIM POR ESTIMATIVA RELATIVO AOS MESES DE JANEIRO A MARÇO DE 2024</t>
  </si>
  <si>
    <t>SAAEJ - SERVIÇO AUTONÔMO DE ÁGUA E ESGOTO DE JARDIM</t>
  </si>
  <si>
    <t>29038683000158</t>
  </si>
  <si>
    <t>FORNECIMENTO DE ÁGUA PARA PROMOTORIA DE JUSTIÇA DE JAGUARIBE POR ESTIMATIVA RELATIVO AOS MESES DE JANEIRO A MARÇO DE 2024</t>
  </si>
  <si>
    <t xml:space="preserve">SAAE DE JAGUARIBE </t>
  </si>
  <si>
    <t>5722202000160</t>
  </si>
  <si>
    <t>FORNECIMENTO DE ÁGUA PARA PROMOTORIA DE JUSTIÇA DE ITAPAJÉ POR ESTIMATIVA RELATIVO AOS MESES DE JANEIRO A MARÇO DE 2024</t>
  </si>
  <si>
    <t xml:space="preserve">SAAE DE ITAPAJE                         </t>
  </si>
  <si>
    <t>7544786000157</t>
  </si>
  <si>
    <t>339040 - 78 - 2502.06</t>
  </si>
  <si>
    <t>SOFTPLAN PLANEJAMENTO E SISTEMAS LTDA</t>
  </si>
  <si>
    <t>82845322000104</t>
  </si>
  <si>
    <t>FORNECIMENTO DE ÁGUA PARA PROMOTORIA DE JUSTIÇA DE IGUATU POR ESTIMATIVA RELATIVO AOS MESES DE JANEIRO A MARÇO DE 2024</t>
  </si>
  <si>
    <t>SERVICO AUTONOMO DE AGUA E ESGOTO DE IGUATU</t>
  </si>
  <si>
    <t>7508138000145</t>
  </si>
  <si>
    <t>FORNECIMENTO DE ÁGUA PARA PROMOTORIA DE JUSTIÇA DE ICÓ POR ESTIMATIVA RELATIVO AOS MESES DE JANEIRO A MARÇO DE 2024</t>
  </si>
  <si>
    <t xml:space="preserve">SAAE DE ICO                             </t>
  </si>
  <si>
    <t>5537196000171</t>
  </si>
  <si>
    <t xml:space="preserve">Lei 8.666/93 Art.25 - Caput </t>
  </si>
  <si>
    <t>339039 - 14 - 2149.12</t>
  </si>
  <si>
    <t>BUTUCA PRODUCOES CULTURAIS LTDA - ME</t>
  </si>
  <si>
    <t>13357557000126</t>
  </si>
  <si>
    <t>FORNECIMENTO DE ÁGUA PARA PROMOTORIA DE JUSTIÇA DE GRANJA POR ESTIMATIVA RELATIVO AOS MESES DE JANEIRO A MARÇO DE 2024</t>
  </si>
  <si>
    <t>SAAE SERV AUTONOMO AGUA ESGOTO GRANJA</t>
  </si>
  <si>
    <t>7476369000114</t>
  </si>
  <si>
    <t>Lei 8.666/1993 Art.24 VINCISO VIII</t>
  </si>
  <si>
    <t>339039 - 14 - 2188.01</t>
  </si>
  <si>
    <t xml:space="preserve">EMPRESA BRAS DE CORREIOS E TELEGRAFOS </t>
  </si>
  <si>
    <t>34028316001002</t>
  </si>
  <si>
    <t>FORNECIMENTO DE ÁGUA PARA PROMOTORIA DE JUSTIÇA DE BREJO SANTO POR ESTIMATIVA RELATIVO AOS MESES DE JANEIRO A MARÇO DE 2024</t>
  </si>
  <si>
    <t>PREFEITURA MUNICIPAL DE BREJO SANTO</t>
  </si>
  <si>
    <t>7620701000172</t>
  </si>
  <si>
    <t>FORNECIMENTO DE ÁGUA PARA PROMOTORIA DE JUSTIÇA DE CANINDÉ POR ESTIMATIVA RELATIVO AOS MESES DE JANEIRO A MARÇO DE 2024</t>
  </si>
  <si>
    <t xml:space="preserve">SAAE DE CANINDE </t>
  </si>
  <si>
    <t>7113566000179</t>
  </si>
  <si>
    <t>FORNECIMENTO DE ÁGUA PARA PROMOTORIA DE JUSTIÇA DE SOBRAL POR ESTIMATIVA RELATIVO AOS MESES DE JANEIRO A MARÇO DE 2024</t>
  </si>
  <si>
    <t>SERVIÇO AUTÔNOMO DE ÁGUA E ESGOTO DE SOBRAL</t>
  </si>
  <si>
    <t>7817778000137</t>
  </si>
  <si>
    <t>FORNECIMENTO DE ÁGUA PARA PROMOTORIA DE JUSTIÇA DE SOLONOPOLE POR ESTIMATIVA RELATIVO AOS MESES DE JANEIRO A MARÇO DE 2024</t>
  </si>
  <si>
    <t xml:space="preserve">SAAE DE SOLONOPOLE </t>
  </si>
  <si>
    <t>7852676000152</t>
  </si>
  <si>
    <t>FORNECIMENTO DE ÁGUA PARA USO NO ÂMBITO DO MINISTÉRIO PÚBLICO E PROMOTORIAS EM GERAL POR ESTIMATIVA RELATIVO AOS MESES DE JANEIRO A MARÇO DE 2024</t>
  </si>
  <si>
    <t>COMPANHIA DE AGUA E ESGOTO DO CEARA CAGECE</t>
  </si>
  <si>
    <t>7040108000157</t>
  </si>
  <si>
    <t>FORNECIMENTO DE ÁGUA PARA PROMOTORIA DE JUSTIÇA DE CRATO POR ESTIMATIVA RELATIVO AOS MESES DE JANEIRO A MARÇO DE 2024</t>
  </si>
  <si>
    <t>AMBIENTAL CRATO CONCESSIONARIA DE SANEAMENTO SPE S.A</t>
  </si>
  <si>
    <t>45898856000164</t>
  </si>
  <si>
    <t>339040 - 78 - 3081.08</t>
  </si>
  <si>
    <t>LEME CONSULTORIA EM GESTAO DE RH LTDA</t>
  </si>
  <si>
    <t>7955535000165</t>
  </si>
  <si>
    <t>Lei n° 14.133/2021, Art. 74 INEXIGIBILIDADE DE LICITAÇÃO</t>
  </si>
  <si>
    <t>GARTNER DO BRASIL SERV DE PESQUISAS LTDA</t>
  </si>
  <si>
    <t>2593165000140</t>
  </si>
  <si>
    <t>Lei n° 14.133/2021, Art. 75,x</t>
  </si>
  <si>
    <t>339039 - 14 - 2159.20</t>
  </si>
  <si>
    <t xml:space="preserve">ASSOCIAÇÃO DOS SERVIDORES DA SUPERINTENDÊNCIA DE OBRAS PÚBLICAS-ASSOP             </t>
  </si>
  <si>
    <t>7192669000171</t>
  </si>
  <si>
    <t>Lei n° 14.133/2021, Art. 75,X</t>
  </si>
  <si>
    <t>MACIEL CONSTRUCOES E TERRAPLANAGENS S.A</t>
  </si>
  <si>
    <t>41548652000142</t>
  </si>
  <si>
    <t>Lei n° 14.133/2021, Art. 75 DISPENSA, X</t>
  </si>
  <si>
    <t>B &amp; Q ENERGIA LTDA</t>
  </si>
  <si>
    <t>12255352000177</t>
  </si>
  <si>
    <t>Lei n° 14.133/2021, Art. 75 DISPENSA x</t>
  </si>
  <si>
    <t>SOL POENTE PARTICIPAÇÕES LTDA</t>
  </si>
  <si>
    <t>20657685000150</t>
  </si>
  <si>
    <t>Lei n° 14.133/2021, Art. 75, inc. X</t>
  </si>
  <si>
    <t>RESULT CONSTRUCOES EIRELI</t>
  </si>
  <si>
    <t>32697604000125</t>
  </si>
  <si>
    <t>Lei n° 14.133/2021, Art. 75, Inc. X</t>
  </si>
  <si>
    <t>WR ENGENHARIA LTDA</t>
  </si>
  <si>
    <t>11710431000168</t>
  </si>
  <si>
    <t>MJ IMOBILIÁRIA LTDA</t>
  </si>
  <si>
    <t>44114554000195</t>
  </si>
  <si>
    <t>Lei n° 14.133/2021, Art. 75</t>
  </si>
  <si>
    <t>339039 - 14 - 2156.80</t>
  </si>
  <si>
    <t xml:space="preserve">TK ELEVADORES BRASIL LTDA </t>
  </si>
  <si>
    <t>90347840001190</t>
  </si>
  <si>
    <t>J&amp;C PARTICIPAÇÕES LTDA</t>
  </si>
  <si>
    <t>15473585000134</t>
  </si>
  <si>
    <t xml:space="preserve">ARY BRASIL ADMINISTRAÇÃO DE IMÓVEIS EIRELI </t>
  </si>
  <si>
    <t>8744388000147</t>
  </si>
  <si>
    <t>BLUE STAR CENTRO EMPREENDIMENTO IMOBILIÁRIOS SPE LTDA</t>
  </si>
  <si>
    <t>22588967000179</t>
  </si>
  <si>
    <t>J CIDRAO MASSILON EIRELI</t>
  </si>
  <si>
    <t>41456187000110</t>
  </si>
  <si>
    <t>HYBERNON PARTICIPAÇÕES LTDA</t>
  </si>
  <si>
    <t>23889442000136</t>
  </si>
  <si>
    <t>Lei n 14.133/2021, Art. 75, Inc. X</t>
  </si>
  <si>
    <t>M&amp;M PARTICIPAÇÕES LTDA</t>
  </si>
  <si>
    <t>22705562000173</t>
  </si>
  <si>
    <t xml:space="preserve"> LIMA EMPREENDIMENTOS IMOBILIARIOS LTDA</t>
  </si>
  <si>
    <t>10508750000122</t>
  </si>
  <si>
    <t>Lei n 14.133/2021, Art. 74</t>
  </si>
  <si>
    <t>CLINICA MEDICA MAIS SAUDE LTDA</t>
  </si>
  <si>
    <t>33457311000133</t>
  </si>
  <si>
    <t>OLIMPO EDIFICAÇÕES LTDA</t>
  </si>
  <si>
    <t>5569807000163</t>
  </si>
  <si>
    <t>Lei n° 14.133/2021, Art. 75, X</t>
  </si>
  <si>
    <t>339036 - 12 - 2083.10</t>
  </si>
  <si>
    <t>JOAQUIM DO O DA COSTA NETO</t>
  </si>
  <si>
    <t>19678451824</t>
  </si>
  <si>
    <t>FZ IMOVEIS LTDA</t>
  </si>
  <si>
    <t>7340995000189</t>
  </si>
  <si>
    <t>LEILSON SARAIVA RIBEIRO</t>
  </si>
  <si>
    <t>81324910330</t>
  </si>
  <si>
    <t>Lei n° 14.133/2021, Art. 75 X</t>
  </si>
  <si>
    <t>GALGANI MARIA NEVES DE ARAUJO</t>
  </si>
  <si>
    <t>23017090353</t>
  </si>
  <si>
    <t>RAUHA PARTICIPACOES SA</t>
  </si>
  <si>
    <t>7936046000166</t>
  </si>
  <si>
    <t>JULIO BERNARDINO DA SILVA NETO</t>
  </si>
  <si>
    <t>50591630320</t>
  </si>
  <si>
    <t>TFL SERVICOS DE ADMINISTRACAO DE BENS LTDA</t>
  </si>
  <si>
    <t>14763826000117</t>
  </si>
  <si>
    <t>JOSE ALMEIDA DE OLIVEIRA</t>
  </si>
  <si>
    <t>2144832315</t>
  </si>
  <si>
    <t>DIANA PAULA FONTENELE MAGALHÃES</t>
  </si>
  <si>
    <t>77748638349</t>
  </si>
  <si>
    <t>Lei 8.666/1993 Art.24 ,X</t>
  </si>
  <si>
    <t>WALNEY SOEIRO OSTERNO</t>
  </si>
  <si>
    <t>31014895391</t>
  </si>
  <si>
    <t>ANA REGINA RIBEIRO RODRIGUES</t>
  </si>
  <si>
    <t>84738480391</t>
  </si>
  <si>
    <t>FRANCISCA LUCIMAR PINHEIRO PARENTE</t>
  </si>
  <si>
    <t>43713017387</t>
  </si>
  <si>
    <t>MARINA PINHEIRO DE OLIVEIRA</t>
  </si>
  <si>
    <t>1728735335</t>
  </si>
  <si>
    <t>Lei 8.666/1993 Art.24 ,10</t>
  </si>
  <si>
    <t>SERGIO DOS SANTOS SARAIVA</t>
  </si>
  <si>
    <t>91495059391</t>
  </si>
  <si>
    <t>MICHELL DO AMARAL ALMEIDA</t>
  </si>
  <si>
    <t>35165286215</t>
  </si>
  <si>
    <t>MARIA LIDUINA SILVA GALVÃO</t>
  </si>
  <si>
    <t>7136315387</t>
  </si>
  <si>
    <t>GLICERIO GOMES DE MORAIS NETO</t>
  </si>
  <si>
    <t>19556292349</t>
  </si>
  <si>
    <t>RAIMUNDO ALBANI UCHOA</t>
  </si>
  <si>
    <t>4514670359</t>
  </si>
  <si>
    <t>JOSE LEITE DE ARAUJO</t>
  </si>
  <si>
    <t>7021062320</t>
  </si>
  <si>
    <t>FRANCISO ALENCAR MACEDO</t>
  </si>
  <si>
    <t>5817870304</t>
  </si>
  <si>
    <t>CLAUDIO ROTONDO JUNIOR</t>
  </si>
  <si>
    <t>34123367852</t>
  </si>
  <si>
    <t>MARIA NOEME HOLANDA ALVES</t>
  </si>
  <si>
    <t>50937197300</t>
  </si>
  <si>
    <t>ANTONIO CLODOALDO BATISTA DA CRUZ</t>
  </si>
  <si>
    <t>25876988391</t>
  </si>
  <si>
    <t>IRANILDA BARROSO DE LIMA</t>
  </si>
  <si>
    <t>46950052391</t>
  </si>
  <si>
    <t>LUCIANO SALVIANO SAMPAIO</t>
  </si>
  <si>
    <t>65652827300</t>
  </si>
  <si>
    <t>3S EMPREENDIMENTOS IMOBILIARIOS EIRELI EPP</t>
  </si>
  <si>
    <t>21134653000133</t>
  </si>
  <si>
    <t>LUIS GONZAGA TEIXEIRA</t>
  </si>
  <si>
    <t>8034508420</t>
  </si>
  <si>
    <t>MARIA IZETE ROCHA DE MATOS</t>
  </si>
  <si>
    <t>20941439372</t>
  </si>
  <si>
    <t>ZACARIAS BARROS CAVALCANTE</t>
  </si>
  <si>
    <t>81514034891</t>
  </si>
  <si>
    <t>339036 - 12 - 2126.99</t>
  </si>
  <si>
    <t>Lei n° 14.133/2021, Art. 75, II</t>
  </si>
  <si>
    <t>339039 - 14 - 2235.99</t>
  </si>
  <si>
    <t>CREDILINK INFORMAÇÕES DE CRÉDITO LTDA</t>
  </si>
  <si>
    <t>2581711000122</t>
  </si>
  <si>
    <t>Lei n° 14.133/2021, Art. 75, 8666/93,X</t>
  </si>
  <si>
    <t>ANA CLEIDE DA SILVA SANTOS DAMASCENO</t>
  </si>
  <si>
    <t>78214130387</t>
  </si>
  <si>
    <t>339039 - 14 - 2144.07</t>
  </si>
  <si>
    <t>CÉLIA DE AGUIAR PRADO</t>
  </si>
  <si>
    <t>18904432391</t>
  </si>
  <si>
    <t>Y T CONSTRUÇÕES EIRELI</t>
  </si>
  <si>
    <t>29417319000107</t>
  </si>
  <si>
    <t>ARY FONTENELE BATISTA</t>
  </si>
  <si>
    <t>49090674349</t>
  </si>
  <si>
    <t>A.R IMOBILIÁRIA LTDA</t>
  </si>
  <si>
    <t>44231385000173</t>
  </si>
  <si>
    <t>WJGV CONSTRUÇÕES E SERVIÇOS IMOBILIARIOS LTDA</t>
  </si>
  <si>
    <t>48444032000102</t>
  </si>
  <si>
    <t>LEI Nº 14.133/21, Art. 75, CONTRATO: 023/2022 E PROJETO FRMMP: 52/2023.</t>
  </si>
  <si>
    <t>339040 - 78 - 2488.02</t>
  </si>
  <si>
    <t>EMPRESA DE TECNOLOGIA DA INFORMACAO DO CEARA ETICE</t>
  </si>
  <si>
    <t>3773788000167</t>
  </si>
  <si>
    <t>339040 - 78 - 3079.05</t>
  </si>
  <si>
    <t>TECHBIZ FORENSE DIGITAL LTDA</t>
  </si>
  <si>
    <t>5757597000218</t>
  </si>
  <si>
    <t>LEI Nº 14.133/21 , ART. 75, CONTRATO: 032/2023 E PROJETO FRMMP Nº 052/2023.</t>
  </si>
  <si>
    <t>=HIPERLINK("https://www8.mpce.mp.br/Empenhos/150001/Objeto/32-2023.pdf";"DISPONIBILIZAÇÃO DE SOLUÇÃO TECNOLÓGICA NA MODALIDADE SOFTWARE COMO SERVIÇO (SAAS) PARA GESTÃO INTEGRADA DE ESTRATÉGIA, PORTFÓLIO, PROJETOS, TAREFAS, REUNIÕES INDICADORES E PROCESSOS. (LICENÇA/MÊS), REFERENTE AOS MESES DE JANEIRO, FEVEREIRO E MARÇO DE 2024, RELATIVO AO CONTRATO 032/2023 E PROJETO FRMMP Nº 025/2023.")</t>
  </si>
  <si>
    <t>339040 - 78 - 3078.04</t>
  </si>
  <si>
    <t>Lei n° 14.133/2021, Art. 75, Contrato nº 006/2017/PGJ.</t>
  </si>
  <si>
    <t>339039 - 14 - 2216.74</t>
  </si>
  <si>
    <t>=HIPERLINK("https://www8.mpce.mp.br/Empenhos/150001/Objeto/47-2019.pdf";"SERVIÇOS DE PERÍCIA E ASSESSORIA TÉCNICA ESPECIALIZADAS, ANÁLISES FÍSICO QUÍMICAS EM AMOSTRAS DE COMBUSTÍVEIS (GASOLINA, ÓLEO DIESEL E ETANOL), CONTRATO 047/2019, EMPENHO POR ESTIMATIVA REFERENTE AOS MESES DE FEV, MAR, ABR, MAI, JUN E JUL (PROPORCIONAL DE 16 DIAS) DE 2024.")</t>
  </si>
  <si>
    <t>339035 - 26 - 2347.01</t>
  </si>
  <si>
    <t>FUNDACAO DE APOIO A SERVICOS TECNICOS, ENSINO E FOMENTO A PESQUISAS - FUNDACAO ASTEF</t>
  </si>
  <si>
    <t>8918421000108</t>
  </si>
  <si>
    <t>Lei n° 14.133/2021, Art. 75_x000D_
CONTRATO 001/2022 - PROJETO 052/2023.</t>
  </si>
  <si>
    <t>=HIPERLINK("https://www8.mpce.mp.br/Empenhos/150001/Objeto/01-2022.pdf";"EMPENHO REFERENTE A DISPONIBILIZAÇÃO, ADEQUAÇÃO, AUTOMAÇÃO E USO DE SOLUÇÃO TECNOLÓGICA PARA RELACIONAMENTO COM O CIDADÃO E DIGITALIZAÇÃO DE SERVIÇOS PÚBLICOS (MODELO SAAS),  INCLUINDO SUPORTE TÉCNICO E TREINAMENTO, CONTRATO 001/2022 - PROJETO 052/2023, POR ESTIMATIVA, REFERENTE AOS MESES DE JAN, FEV E MAR/2024.")</t>
  </si>
  <si>
    <t>Lei n° 14.133/2021, Art. 75 - CONTRATO 028/2020</t>
  </si>
  <si>
    <t>GEOAMBIENTE SENSORIAMENTO REMOTO LTDA</t>
  </si>
  <si>
    <t>33757000181</t>
  </si>
  <si>
    <t>Lei n° 14.133/2021, Art. 75, Contrato 006/2020 e Projeto nº 052/2023.</t>
  </si>
  <si>
    <t>Lei n° 14.133/2021, Art. 75, INC. X</t>
  </si>
  <si>
    <t>Lei n 14.133/2021, Art. 75, Inc. X e Contrato 031/2017/PGJ.</t>
  </si>
  <si>
    <t>Lei n° 14.133/2021, Art. 74 - CONTRATO 009/2022 - PROJETO 52/2023</t>
  </si>
  <si>
    <t>339040 - 78 - 2498.13</t>
  </si>
  <si>
    <t xml:space="preserve"> GEMELO DO BRASIL S/A </t>
  </si>
  <si>
    <t>3888247000184</t>
  </si>
  <si>
    <t>Lei n° 14.133/2021, Art. 75 - DISPENSA X</t>
  </si>
  <si>
    <t>Lei n° 14.133/2021, Art. 75, Inc. X, Contrato 012/2017/PGJ.</t>
  </si>
  <si>
    <t>=HIPERLINK("https://www8.mpce.mp.br/Empenhos/150001/Objeto/12-2017.pdf";"EMPENHO DE ALUGUÉIS DOS MESES DE FEVEREIRO E  MARÇO DE 2024, REF AO IMÓVEL ONDE FUNCIONAM AS PROMOTORIAS DEJUSTIÇA DE JUAZEIRO DO NORTE, LOCALIZADO À RUA CATULO DA PAIXÃO CEARENSE, N° 135, BAIRRO TRIÂNGULO, JUAZEIRO DO NORTE-CE, CEP: 63.041-162 (EDIFÍCIO CENTRAL PARK COMERCIAL, 13º ANDAR, SALAS 1316 A 1317), CONF CONTRATO Nº 012/2017/PGJ.")</t>
  </si>
  <si>
    <t>Lei n° 14.133/2021, Art. 75 DISPENSA,X</t>
  </si>
  <si>
    <t>Lei n° 14.133/2021, Art. 75, X, Contrato n° 004/2020/PGJ,</t>
  </si>
  <si>
    <t>Lei n° 14.133/2021, Art. 75, X  e Contrato nº 012/2022/PGJ.</t>
  </si>
  <si>
    <t>Lei n° 14.133/2021, Art. 75, X e Contrato 041/2021/PGJ.</t>
  </si>
  <si>
    <t>Lei n° 14.133/2021, Art. 75, DISPENSA, X</t>
  </si>
  <si>
    <t>Lei n° 14.133/2021, Art. 75, x E Contrato Nº 022/2010/PGJ.</t>
  </si>
  <si>
    <t>Lei n° 14.133/2021, Art. 75, x e Contrato nº 026/2021/PGJ.</t>
  </si>
  <si>
    <t>Lei n° 14.133/2021, Art. 75, X e Contrato nº 028/2022/PGJ.</t>
  </si>
  <si>
    <t>Lei n° 14.133/2021, Art. 75, X  e Contrato nº 033/2022/PGJ.</t>
  </si>
  <si>
    <t>Lei n° 14.133/2021, Art. 74, Contrato 033/2023/PGJ</t>
  </si>
  <si>
    <t>Lei n° 14.133/2021, Art. 74, Contrato nº 044/2023/PGJ.</t>
  </si>
  <si>
    <t>Lei n° 14.133/2021, Art. 75, X, Contrato nº 026/2016/PGJ.</t>
  </si>
  <si>
    <t>Lei n° 14.133/2021, Art. 75, X e Contrato nº 036/2022/PGJ.</t>
  </si>
  <si>
    <t>Lei n° 14.133/2021, Art. 75, X e Contrato nº 0038/2021/PGJ.</t>
  </si>
  <si>
    <t>Lei n° 14.133/2021, Art. 74 - CONTRATO 056/2023</t>
  </si>
  <si>
    <t>LEI 14.133/2021, ART, 75</t>
  </si>
  <si>
    <t>Lei 8.666/93 Art.25 -I</t>
  </si>
  <si>
    <t>Lei n° 14.133/2021, Art. 75 - CONTRATO 008/2023</t>
  </si>
  <si>
    <t>Lei n° 14.133/2021, Art. 75, X e Contrato nº 084/2019/PGJ.</t>
  </si>
  <si>
    <t>Lei n° 14.133/2021, Art. 75, X e Contrato nº 008/2017/PGJ.</t>
  </si>
  <si>
    <t>Lei n° 14.133/2021, Art. 75, X, e Contrato nº 009/2016/PGJ.</t>
  </si>
  <si>
    <t>Lei n° 14.133/2021, Art. 75, X e Contrato 43/2013.</t>
  </si>
  <si>
    <t>Lei n° 14.133/2021, Art. 75, X e Contrato nº 051/2019/PGJ.</t>
  </si>
  <si>
    <t>Lei n° 14.133/2021, Art. 75, X  e Contrato 010/2022.</t>
  </si>
  <si>
    <t>Lei n° 14.133/2021, Art. 75, V  e Contrato nº 063/2019/PGJ.</t>
  </si>
  <si>
    <t>Lei n° 14.133/2021, Art. 75, V  e Contrato nº 061/2019/PGJ.</t>
  </si>
  <si>
    <t>Lei n° 14.133/2021, Art. 75, X  e Contrato nº 074/2019.</t>
  </si>
  <si>
    <t>Lei n° 14.133/2021, Art. 75, X  e Contrato nº 85/2019.</t>
  </si>
  <si>
    <t>Lei n° 14.133/2021, Art. 75, Lei nº 8666/93, art 24, XXII.</t>
  </si>
  <si>
    <t>EMPENHO DE SERVIÇOS DE ENERGIA ELÉTRICA EM BAIXA E ALTA TENSÃO À DIVERSAS UNIDADES MINISTERIAIS, REF. AOS MESES DE JANEIRO À MARÇO.</t>
  </si>
  <si>
    <t>339039 - 14 - 2183.43</t>
  </si>
  <si>
    <t>COMPANHIA ENERGETICA DO CEARA - ENEL</t>
  </si>
  <si>
    <t>7047251000170</t>
  </si>
  <si>
    <t>Lei n° 14.133/2021, Art. 75, X e Contrato nº 034/2021/PGJ.</t>
  </si>
  <si>
    <t>Lei n° 14.133/2021, Art. 75, X  e Contrato nº 026/2017/PGJ.</t>
  </si>
  <si>
    <t>Lei n° 14.133/2021, Art. 75, X  e Contrato nº 038/2022.</t>
  </si>
  <si>
    <t>Lei n° 14.133/2021, Art. 74 e Contrato nº 036/2023/PGJ.</t>
  </si>
  <si>
    <t>Lei n° 14.133/2021, Art. 74  e Contrato nº 041/2023/PGJ.</t>
  </si>
  <si>
    <t>Lei n° 14.133/2021, Art. 75, X  e Contrato nº 024/2022/PGJ.</t>
  </si>
  <si>
    <t xml:space="preserve">Lei n° 14.133/2021, Art. 75, Inc. X_x000D_
</t>
  </si>
  <si>
    <t>Lei n° 14.133/2021, Art. 75 - CONTRATO 016/2017</t>
  </si>
  <si>
    <t>339039 - 14 - 2141.04</t>
  </si>
  <si>
    <t>Lei n° 14.133/2021, Art. 75, Contrato nº 014/2017/PGJ.</t>
  </si>
  <si>
    <t>Lei 8.666/1993 Art.24 ,x</t>
  </si>
  <si>
    <t>Lei 14.133/2021, inc. IX.</t>
  </si>
  <si>
    <t>SERVIÇOS TÉCNICOS ESPECIALIZADOS SOB DEMANDA, PARA ADEQUAÇÃO E AUTOMAÇÃO DE SERVIÇOS PÚBLICOS COM O USO DA SOLUÇÃO TECNOLÓGICA, CONF. CONTRATO 058/2023 E PROJETO 052/2023/FRMMP, REF. 2024, POR ESTIMATIVA.</t>
  </si>
  <si>
    <t xml:space="preserve">Lei 14.133/2021, art. 74, V, conf. Contrato 054/2023. _x000D_
</t>
  </si>
  <si>
    <t>DISPENSA ELETRÔNICA 027/2023. Lei 14.133/2021, 75, II.</t>
  </si>
  <si>
    <t>AQUISIÇÃO DE 20 (VINTE) DESUMIDIFICADORES DE AR, CONF. DISPENSA ELETRÔNICA 027/2023 E ORDEM DE COMPRA 017/2024/SEAD.</t>
  </si>
  <si>
    <t>449052 - 2 - 1960.62</t>
  </si>
  <si>
    <t>IMPERIO ROZERA LTDA</t>
  </si>
  <si>
    <t>48000949000118</t>
  </si>
  <si>
    <t>DISPENSA ELETRÔNICA 001/2024 (DOMP 1692, 08.02.2024). Lei 14.133/2021, art. 75, II.</t>
  </si>
  <si>
    <t>AQUISIÇÃO DE 14 (QUATORZE) CLAVICULÁRIOS, CONF. DISPENSA ELETRÔNICA 001/2024 E ORDEM DE COMPRA 025/2024/SEAD.</t>
  </si>
  <si>
    <t>449052 - 2 - 1940.42</t>
  </si>
  <si>
    <t>VICTOR MENDES MORENO SIMOES</t>
  </si>
  <si>
    <t>48441477000139</t>
  </si>
  <si>
    <t>AQUISIÇÃO DE 04 (QUATRO) CLAVICULÁRIOS, CONF. DISPENSA ELETRÔNICA 001/2024 E ORDEM DE COMPRA 026/2024/SEAD.</t>
  </si>
  <si>
    <t>SANTA MARIA COMÉRCIO DE BRINQUEDOS E MAT ESCOLARES EIRELI</t>
  </si>
  <si>
    <t>5077676000105</t>
  </si>
  <si>
    <t>FORNECIMENTO DE ENERGIA ELÉTRICA EM ALTA TENSÃO À UNIDADE MINISTERIAL DO DECON - DISPENSA DE LICITAÇÃO, POR ESTIMATIVA, REFERENTE AOS MESES DE JAN, FEV E MAR/2024.</t>
  </si>
  <si>
    <t>Lei n° 14.133/2021, Art. 75 e Contrato nº 016/2017/PGJ.</t>
  </si>
  <si>
    <t>Lei n° 14.133/2021, Art. 75 e Contrato 016/2017/PGJ.</t>
  </si>
  <si>
    <t>=HIPERLINK("https://www8.mpce.mp.br/Empenhos/150001/Objeto/16-2017.pdf";"EMPENHO DE TMRSU REFERENTE A 2ª PARCELA DE 2024, REF.  A TAXA DE LIXO AO IMÓVEL, ONDE FUNCIONAM AS PROMOTORIAS DE JUSTIÇA CRIMINAIS, LOCALIZADO À AVENIDA CORONEL JOSÉ PHILOMENO, N° 222, BAIRRO ENGENHEIRO LUCIANO CAVALCANTE, FORTALEZA-CE, CONF. CONTRATO Nº 016/2017/PGJ.")</t>
  </si>
  <si>
    <t>Lei n° 14.133/2021, Art. 75 E Contrato nº 026/2016/CPL/PGJ.</t>
  </si>
  <si>
    <t>Lei n° 14.133/2021, Art. 75 e Contrato nº 074/2019/PGJ.</t>
  </si>
  <si>
    <t>Lei n° 14.133/2021, Art. 75 e Contrato nº 014/2017/PGJ.</t>
  </si>
  <si>
    <t>Lei n° 14.133/2021, Art. 75 e Contrato nº 002/2023/PGJ.</t>
  </si>
  <si>
    <t xml:space="preserve">PGA 09.2023.00029391-5. Lei 14.133/2021, art. 74, V, conf. Contrato 054/2023. _x000D_
</t>
  </si>
  <si>
    <t>Lei n° 14.133/2021, Art. 75 e Contrato nº 002/2004/PGJ.</t>
  </si>
  <si>
    <t>Lei 8.666/93, art. 25, II, comb. c/ art. 13, II, conf. Contrato 047/2019.</t>
  </si>
  <si>
    <t>Lei 8.666/93, art. 25, II, comb. c/ art. 13, II, conf. Contrato 047/2019</t>
  </si>
  <si>
    <t>Lei n° 14.133/2021, Art. 75 e Contrato nº 033/2021/PGJ.</t>
  </si>
  <si>
    <t>Lei 8.666/93, art. 24, inc. X.</t>
  </si>
  <si>
    <t>Lei n° 14.133/2021, Art. 75 e Contrato nº 038/2021/PGJ.</t>
  </si>
  <si>
    <t>Lei n° 14.133/2021, Art. 75 e Contrato nº 010/2022/PGJ.</t>
  </si>
  <si>
    <t>Lei 8.666/93 Art.25 -   inexigibilidade,I</t>
  </si>
  <si>
    <t>=HIPERLINK("https://www8.mpce.mp.br/Empenhos/150001/Objeto/07-2023.pdf";"LICENÇAS DE USO AO ACERVO DA BIBLIOTECA DIGITAL " MINHA BIBLIOTECA" POR ESTIMATIVA, PARA O EXERCÍCIO DE 2024.2")</t>
  </si>
  <si>
    <t>339039 - 14 - 2207.65</t>
  </si>
  <si>
    <t>MINHA BIBLIOTECA LTDA</t>
  </si>
  <si>
    <t>13183749000163</t>
  </si>
  <si>
    <t>Lei 8.666/93, art. 24, inc. X., conf. Contrato 048/2019.</t>
  </si>
  <si>
    <t>Lei n° 14.133/2021, Art. 75 e Contrato nº 016/2022/PGJ.</t>
  </si>
  <si>
    <t>Lei n° 14.133/2021, Art. 74 - CONTRATO 036/2021</t>
  </si>
  <si>
    <t>EMPENHO DO VALOR REFERENTE A ANUIDADE DE ÓRGÃOS FILIADOS A ABEC BRASIL, VISANDO PRESTAÇÃO DE SERVIÇOS DE DISPONIBILIZAÇÃO DE IDENTIFICADORES DIGITAIS DE DOCUMENTOS, CONFORME CONTRATO Nº 36/2021 - POR ESTIMATIVA.</t>
  </si>
  <si>
    <t>339039 - 14 - 2143.06</t>
  </si>
  <si>
    <t>ASSOCIACAO BRASILEIRA DE EDITORES CIENTIFICOS</t>
  </si>
  <si>
    <t>29261229000161</t>
  </si>
  <si>
    <t>Lei n° 14.133/2021, Art. 75  e Contrato nº 017/2022/PGJ.</t>
  </si>
  <si>
    <t>Lei n° 14.133/2021, Art. 75 e Contrato nº 018/2020/PGJ.</t>
  </si>
  <si>
    <t>Lei n° 14.133/2021, Art. 75 e Contrato nº 029/2022/PGJ.</t>
  </si>
  <si>
    <t>Lei n° 14.133/2021, Art. 75 e Contrato nº 008/2023/PGJ.</t>
  </si>
  <si>
    <t>Lei n° 14.133/2021, Art. 75  e Contrato nº 010/2023/PGJ.</t>
  </si>
  <si>
    <t>Lei n° 14.133/2021, Art. 75 e Contrato nº  024/2023PGJ.</t>
  </si>
  <si>
    <t>Lei 8.666/1993 Art.24 , Lei nº 14.133/21 e Contrato nº 011/2023/PGJ.</t>
  </si>
  <si>
    <t>Lei n° 14.133/2021, Art. 74  e Contrato nº 031/2018.</t>
  </si>
  <si>
    <t>Lei n° 14.133/2021, Art. 75, II, 1º Termo de Apostilamento ao Contato n. 054/2022.</t>
  </si>
  <si>
    <t>Lei n° 14.133/2021, Art. 75  e Contrato nº 039/2013/CPL/PGJ.</t>
  </si>
  <si>
    <t>Lei n° 14.133/2021, Art. 75  e Contrato nº 043/2013/CPL/PGJ.</t>
  </si>
  <si>
    <t>Lei n° 14.133/2021, Art. 75 e Contrato nº 008/2017/PGJ.</t>
  </si>
  <si>
    <t>Lei n° 14.133/2021, Art. 75 e Contrato nº 026/2017/PGJ.</t>
  </si>
  <si>
    <t xml:space="preserve">PGA 09.2023.00021416-3. Lei 14.133/2021, conf. Contrato 056/2023._x000D_
</t>
  </si>
  <si>
    <t>Lei n° 14.133/2021, Art. 75 e Contrato nº 051/2019/PGJ.</t>
  </si>
  <si>
    <t>PGA 09.2022.00037184-7/SAJ-MPCE. Lei 14.133/2021, art. 74, V, conf. Contrato 044/2023.</t>
  </si>
  <si>
    <t>PGA 09.2021.00016679-0. Lei 8.666/93, conf. Contrato 024/2022.</t>
  </si>
  <si>
    <t>Lei n° 14.133/2021, Art. 75 e Contrato nº 061/2019/PGJ.</t>
  </si>
  <si>
    <t>Lei n° 14.133/2021, Art. 75 e Contrato nº 025/2021/PGJ.</t>
  </si>
  <si>
    <t>Lei n° 14.133/2021, Art. 75 e Contrato nº 034/2021/PGJ.</t>
  </si>
  <si>
    <t>Lei n° 14.133/2021, Art. 75  e Contrato nº 028/2022/PGJ.</t>
  </si>
  <si>
    <t>Lei n° 14.133/2021, Art. 75 e Contrato nº 036/2022/PGJ.</t>
  </si>
  <si>
    <t>Lei n° 14.133/2021, Art. 75 e Contrato nº 038/2022/PGJ.</t>
  </si>
  <si>
    <t>Lei n° 14.133/2021, Art. 74 e Contrato nº 033/2023/PGJ.</t>
  </si>
  <si>
    <t>Lei n° 14.133/2021, Art. 74 e Contrato nº 041/2023/PGJ.</t>
  </si>
  <si>
    <t>DOE 1698, 20.02.2024, p. 03. Lei 14.133/2021, art. 74, III, “f”.</t>
  </si>
  <si>
    <t>CURSO IN COMPANY COM O TEMA ESCRITA JURÍDICA COM O CHATGPT: TEORIA E PRÁTICA, CONF. TERMO DE CONTRATAÇÃO DIRETA (DOE 1698, 20.02.2024, P. 03) E ORDEM DE SERVIÇO SN/ESMP.</t>
  </si>
  <si>
    <t>339039 - 14 - 2151.14</t>
  </si>
  <si>
    <t>ML EMPREENDIMENTOS E CONSULTORIA EDUCACIONAL LTDA</t>
  </si>
  <si>
    <t>51871404000191</t>
  </si>
  <si>
    <t>PGA: 09.2023.00039691-0/SAJ-MPCE. Lei 14.133/2021, art. 74, III, “f”, conf. Contrato 019/2024.</t>
  </si>
  <si>
    <t>AOVS SISTEMAS DE INFORMATICA LTDA</t>
  </si>
  <si>
    <t>5555382000133</t>
  </si>
  <si>
    <t>Lei n° 14.133/2021, Art. 75, X e Contrato nº 001/2015.</t>
  </si>
  <si>
    <t>Lei n° 14.133/2021, Art. 75, E e Contrato nº 026/2017.</t>
  </si>
  <si>
    <t>Lei 8.666/93, art. 24, inc. X, conf. Contrato 039/2019 (EFL, 27.03.2024).</t>
  </si>
  <si>
    <t>=HIPERLINK("https://www8.mpce.mp.br/Empenhos/150001/Objeto/39-2019.pdf";"REEMBOLSO DA "TAXA DE LIXO" - TMRSU DO IMÓVEL ONDE FUNCIONA A SEDE DAS PROMOTORIAS DE JUSTIÇA DA INFÂNCIA E JUVENTUDE, CONF. CONTRATO 039/2019, REF. 1ª E 2ª PARCELAS, BEM COMO 5 DIAS PROPORCIONAIS DA 3ª PARCELA DE 2024.")</t>
  </si>
  <si>
    <t>Lei nº 11.788/2008. Lei 8.666/93, art. 24, inc. II.</t>
  </si>
  <si>
    <t>Lei n° 14.133/2021, Art. 74,I E II</t>
  </si>
  <si>
    <t>SERVIÇOS DE TREINAMENTO IN COMPANY, TEMA"FAZENDO VÍDEO COM O CELULAR" VISANDO CAPACITAÇÃO DE 15 MEMBROS, SERVIDORES OU COLABORADORES, NO AMBITO DO MP-CE.CARGA HORÁRIA DE 20H/AULA. PERÍDO DE 27,28E 29 DE MARÇO DE 2024.</t>
  </si>
  <si>
    <t>TRAVESSA DA IMAGEM ATELIER MULTIMIDIA LTDA</t>
  </si>
  <si>
    <t>12925895000154</t>
  </si>
  <si>
    <t>Lei n° 14.133/2021, Art. 75, X e Contrato nº026/2016/PGJ.</t>
  </si>
  <si>
    <t>Lei n° 14.133/2021, Art. 74, 4º Aditivo ao Contrato nº 002/2021/PGJ e Projeto nº 019/2023.</t>
  </si>
  <si>
    <t>Lei 8.666/93, art. 24, inc. X, conf. Contrato 039/2019.</t>
  </si>
  <si>
    <t>Lei n° 14.133/2021, Art. 75 e Contrato nº 012/2017.</t>
  </si>
  <si>
    <t>=HIPERLINK("https://www8.mpce.mp.br/Empenhos/150001/Objeto/12-2017.pdf";"EMPENHO DO VALOR PROPORCIONAL DE IPTU DO IMÓVEL ONDE FUNCIONAVA AS PROMOTORIAS DE JUSTIÇA DE JUAZEIRO DO NORTE , REFERENTE A 1ª, 2ª E 3ª PARCELAS DE 2024 DA COTA ÚNICA, EM RAZÃO DA ENTREGA DO IMÓVEL AO LOCADOR EM 1º DE ABRIL, CONF.  CONTRATO Nº 012/2017/PGJ.")</t>
  </si>
  <si>
    <t>339093 - 25 - 2333.27</t>
  </si>
  <si>
    <t>Lei n° 14.133/2021, Art. 75, Contrato nº 001/2022 e Projeto nº 52/2023.</t>
  </si>
  <si>
    <t>Lei n° 14.133/2021, Art. 75, CONTRATO Nº 006/2020 E PROJETO Nº 052/2023.</t>
  </si>
  <si>
    <t>Lei n° 14.133/2021, Art. 75, CONTRATO Nº 023/2022 E PROJETO Nº 52/2023.</t>
  </si>
  <si>
    <t>Lei n° 14.133/2021, Art. 75, Contrato nº 032/2023 e Projeto nº 052/2023.</t>
  </si>
  <si>
    <t>=HIPERLINK("https://www8.mpce.mp.br/Empenhos/150001/Objeto/32-2023.pdf";"DISPONIBILIZAÇÃO DE SOLUÇÃO TECNOLÓGICA NA MODALIDADE SOFTWARE COMO SERVIÇO (SAAS) PARA GESTÃO INTEGRADA DE ESTRATÉGIA, PORTFÓLIO, PROJETOS, TAREFAS, REUNIÕES INDICADORES E PROCESSOS, REF. AO MÊS DE ABRIL DE 2023, CONF. CONTRATO Nº 032/2023 E PROJETO Nº 052/2023.")</t>
  </si>
  <si>
    <t>Lei n° 14.133/2021, Art. 74, Contrato nº 015/2023 e Projeto nº 023/2023.</t>
  </si>
  <si>
    <t>=HIPERLINK("https://www8.mpce.mp.br/Empenhos/150001/Objeto/15-2023.pdf";"EXECUTIVE PROGRAMS LEADERSHIP TEAM PLUS LEADER E TEAM PLUS IT EXECUTIVE _ LICENÇA DE ATUAÇÃO ESTRATÉGICA DE APOIO E ACONSELHAMENTO PARA EXECUTIVO DE TI, P/ USUÁRIO EXECUTIVO TITULAR, INCLUINDO ACESSO A UM CONSELHEIRO EXECUTIVO, ACESSO A ANALISTAS E A BASE DE CONHECIMENTO DESTINADAS AO NÍVEL DE ATUAÇÃO GERENCIAL, CONF. CONTRATO Nº 015/2023 E PROJETO Nº 028/2023, REF. AO MÊS DE ABRIL.")</t>
  </si>
  <si>
    <t>PGA 09.2020.00009688-3. Lei 8.666/1993, art.24, II, conf. Contrato 025/2020.</t>
  </si>
  <si>
    <t>Lei n° 14.133/2021, Art. 74, Contrato nº 009/2022 e Projeto nº 52/2023.</t>
  </si>
  <si>
    <t>Lei n° 14.133/2021, Art. 75, Contrato nº 016/2017/PGJ.</t>
  </si>
  <si>
    <t>Lei n° 14.133/2021, Art. 74, Contrato nº 031/2018 e Projeto nº 52/2023.</t>
  </si>
  <si>
    <t>Lei n° 14.133/2021, Art. 74, Contrato nº 31/2018 e Projeto nº 52/2023.</t>
  </si>
  <si>
    <t>Lei n° 14.133/2021, Art. 74, Contrato nº 059/2023 e Projeto nº 065/2023.</t>
  </si>
  <si>
    <t>Lei n° 14.133/2021, Art. 75 e Contrato_x000D_
nº 010/2022/PGJ.</t>
  </si>
  <si>
    <t>EMPENHO DO ALUGUEL DO MÊS DE ABRIL DE 2024, DO IMÓVEL ONDE FUNCIONAM AS PROMOTORIAS DE JUSTIÇA DA COMARCA DE ICÓ, NOS TERMOS DO CONTRATO Nº 010/2022/PGJ.</t>
  </si>
  <si>
    <t>IMOBILIARIA LUIS GONZAGA TEIXEIRA LTDA</t>
  </si>
  <si>
    <t>53820857000114</t>
  </si>
  <si>
    <t>PGA 09.2021.00024455-0. Lei 8.666/93, art. 24, X, conf. Contrato 010/2022 (EFL, 10.04.2024).</t>
  </si>
  <si>
    <t>Contrato 036/2021.</t>
  </si>
  <si>
    <t>CAMARA BRASILEIRA DO LIVRO</t>
  </si>
  <si>
    <t>60792942000181</t>
  </si>
  <si>
    <t>Lei 8.666/93, art. 24, II, conf. Contrato 006/2021.</t>
  </si>
  <si>
    <t>339039 - 14 - 2173.35</t>
  </si>
  <si>
    <t xml:space="preserve">LEPIDUS TECNOLOGIA LTDA - ME </t>
  </si>
  <si>
    <t>12967719000185</t>
  </si>
  <si>
    <t>DOMP 1706, 01.03.2024, Lei 14.133/2021, art. 74, III, alínea “f”.</t>
  </si>
  <si>
    <t>PALESTRA IN COMPANY FORMAÇÃO CONTINUADA EM INTELIGÊNCIA ARTIFICIAL GENERATIVA - AI0240108, A REALIZAR-SE NO DIA 08/03/2024, COM CARGA HORÁRIA DE 04H/A, PARA ATÉ 300 PESSOAS, CONF. TERMO DE CONTRATAÇÃO DIRETA PUB. DOMP 1706, 01.03.2024, E ORDEM DE SERVIÇO SN/ESMP.</t>
  </si>
  <si>
    <t>ÁRTÉNA SABER ON-LINE LTDA</t>
  </si>
  <si>
    <t>36418009000164</t>
  </si>
  <si>
    <t>DISPENSA	003/2024 (DOMP 1711, 08.03.202). Lei 14.133/2021, art. 75, II..</t>
  </si>
  <si>
    <t>REALIZAÇÃO DO EVENTO SMART - MP, A SER REALIZADO EM JUAZEIRO DO NORTE-CE, NOS DIAS 14 E 15/03.2024, INCLUINDO LOCAÇÃO DE ESPAÇO, COFFEE BREAK E SERVIÇO DE SALA, CONF. DISPENSA DE LICITAÇÃO 003/2024 E MEMORANDO 025/2024/ASCER/MPCE.</t>
  </si>
  <si>
    <t>DJ- HOTELARIA S.A</t>
  </si>
  <si>
    <t>4566342000124</t>
  </si>
  <si>
    <t>Lei 14.133/2021, art. 74, III, alínea “f”, conf. Termo de Deferimento da Contratação Direta (DOMP 1712, 11.03.2024).</t>
  </si>
  <si>
    <t>INSCRIÇÃO DE 2 (DOIS) SERVIDORES DO MPCE NO CURSO DEPARTAMENTO PESSOAL NA ADMINISTRAÇÃO PÚBLICA, COM CARGA HORÁRIA DE 21 H/A, A SER REALIZADO EM SÃO PAULO-SP, NO PERÍODO DE 13 A 15.05.2024, POR MEIO DE INEXIGIBILIDADE DE LICITAÇÃO.SERVIDORES CONTEMPLADOS:LUIZ OTÁVIO RODRIGUES DE FREITAS (MAT. 218323-1-6) E JOSÉ ELVISNEY MOURA BARROSO (MAT. 168229-1-4), AMBOS LOTADOS NO NÚCLEO DA FOLHA DE PAGAMENTOS.</t>
  </si>
  <si>
    <t>META CURSOS E TREINAMENTOS LTDA</t>
  </si>
  <si>
    <t>11517150000193</t>
  </si>
  <si>
    <t xml:space="preserve">DISPENSA ELETRÔNICA 002/2024 (DOE 1715, 14.03.2024). Lei 14.133/2021, art. 75, II, conf Aviso de Contratação Direta 90002/2024 (PGA 09.2023.00040349-3/SAJ-MPCE, fls. 283)._x000D_
</t>
  </si>
  <si>
    <t>CONFECÇÃO DE LETREIRO ACRÍLICO RECORTADO A LASER, CONF. DISPENSA ELETRÔNICA 002/2024 E OS 002/2024/SEAD.</t>
  </si>
  <si>
    <t>339030 - 1 - 1902.44</t>
  </si>
  <si>
    <t>DAYANE DO COSMO MARTINS</t>
  </si>
  <si>
    <t>51739136000159</t>
  </si>
  <si>
    <t>PGA 09.2024.00002623-6. Lei 14.133/2021, art. 74, inc. I, conf. Contrato 018/2024.</t>
  </si>
  <si>
    <t>=HIPERLINK("https://www8.mpce.mp.br/Empenhos/150001/Objeto/18-2024.pdf";"FORNECIMENTO DE "VALES-TRANSPORTES" URBANOS E METROPOLITANOS, EM FAVOR DE 08 (OITO) SERVIDORES DESTE MPCE, CONF. CONTRATO 018/2024, REF. ABR A DEZ/2024, POR ESTIMATIVA.SERVIDORES CONTEMPLADOS:1. ELCIANE NARCÍSIO PINHEIRO;2. FRANCISCO ÍCARO LOPES DA SILVA;3. ISRAEL ALENCAR DE ANDRADE;4. JOSÉ ANDRÉ BARRETO JÚNIOR;5. JULIANA RIBEIRO LINS;6. KLAYLTON DA SILVA LIMA;7. LORENA SARAIVA SILVA;8. WILLIA SOARES LOPES.")</t>
  </si>
  <si>
    <t>339039 - 14 - 2214.72</t>
  </si>
  <si>
    <t>SINDICATO DAS EMPRESAS DE TRANSPORTES   DE PASSAGEIROS DO ESTADO DO CEARA</t>
  </si>
  <si>
    <t>7341423000114</t>
  </si>
  <si>
    <t>FORNECIMENTO DE ÁGUA PARA A PROMOTORIA DE JUSTIÇA DE BREJO SANTO, REF. ABR, MAI E JUN/2024, POR ESTIMATIVA.</t>
  </si>
  <si>
    <t>FORNECIMENTO DE ÁGUA PARA A PROMOTORIA DE JUSTIÇA DE CANINDÉ, REF. ABR, MAI E JUN/2024, POR ESTIMATIVA.</t>
  </si>
  <si>
    <t>FORNECIMENTO DE ÁGUA PARA A PROMOTORIA DE JUSTIÇA DO CRATO, REF. ABR, MAI E JUN/2024, POR ESTIMATIVA.</t>
  </si>
  <si>
    <t>FORNECIMENTO DE ÁGUA PARA A PROMOTORIA DE JUSTIÇA DE GRANJA-CE, REF. ABR, MAI E JUN/2024, POR ESTIMATIVA.</t>
  </si>
  <si>
    <t>Lei 8.666/93, art. 25, caput.</t>
  </si>
  <si>
    <t>FORNECIMENTO DE ÁGUA PARA A PROMOTORIA DE JUSTIÇA DE ICÓ-CE, REF. ABR, MAI E JUN/2024, POR ESTIMATIVA.</t>
  </si>
  <si>
    <t>FORNECIMENTO DE ÁGUA DO IMÓVEL ONDE FUNCIONA A PROMOTORIA DE JUSTIÇA DE IGUATU, REF. ABR, MAI E JUN/2024, POR ESTIMATIVA.</t>
  </si>
  <si>
    <t>FORNECIMENTO DE ÁGUA- TAXA DE ÁGUA PARA AS PROMOTORIAS DE JUSTIÇA DE ITAPAJÉ, POR ESTIMATIVA, REF. AOS MESES DE ABRIL, MAIO E JUNHO DE 2024.</t>
  </si>
  <si>
    <t>Lei n° 14.133/2021, Art. 74.</t>
  </si>
  <si>
    <t>FORNECIMENTO DE ÁGUA- TAXA DE ÁGUA, PARA AS PROMOTORIAS DE JUSTIÇA DE JAGUARIBE,  REF. AOS MESES DE ABRIL, MAIO E JUNHO DE 2024, POR ESTIMATIVA.</t>
  </si>
  <si>
    <t>FORNECIMENTO DE ÁGUA- TAXA DE ÁGUA PARA AS PROMOTORIAS DE JARDIM, REF. AOS MESES DE ABRIL, MAIO E JUNHO DE 2024.</t>
  </si>
  <si>
    <t>FORNECIMENTO DE ÁGUA- TAXA DE ÁGUA PARA AS PROMOTORIAS DE JUCÁS, REF. AOS MESES DE ABRIL, MAIO E JUNHO DE 2024.</t>
  </si>
  <si>
    <t>FORNECIMENTO DE ÁGUA- TAXA DE ÁGUA PARA AS PROMOTORIAS DE LIMOEIRO DO NORTE, REF. AOS MESES DE ABRIL, MAIO E JUNHO DE 2024.</t>
  </si>
  <si>
    <t>FORNECIMENTO DE ÁGUA- TAXA DE ÁGUA PARA AS PROMOTORIAS DE MORADA NOVA, REF. AOS MESES DE ABRIL, MAIO E JUNHO DE 2024.</t>
  </si>
  <si>
    <t>FORNECIMENTO DE ÁGUA- TAXA DE ÁGUA PARA AS PROMOTORIAS DE QUIXERAMOBIM, REF. AOS MESES DE ABRIL, MAIO E JUNHO DE 2024.</t>
  </si>
  <si>
    <t>FORNECIMENTO DE ÁGUA- TAXA DE ÁGUA PARA AS PROMOTORIAS DE SOBRAL, REF. AOS MESES DE ABRIL, MAIO E JUNHO DE 2024.</t>
  </si>
  <si>
    <t>FORNECIMENTO DE ÁGUA- TAXA DE ÁGUA PARA AS PROMOTORIAS DE SOLONÓPOLE, REF. AOS MESES DE ABRIL, MAIO E JUNHO DE 2024.</t>
  </si>
  <si>
    <t>FORNECIMENTO DE ÁGUA RELATIVO AO MÊS DE ABRIL DE  2024 PARA USO DESSE MINISTÉRIO PÚBLICO DO ESTADO DO CEARÁ.</t>
  </si>
  <si>
    <t>Lei n° 14.133/2021, Art. 75 E CONTRATO Nº 035/2018.</t>
  </si>
  <si>
    <t>DISPENSA	007/2024. Lei 14.133/2021, art. 75, II, conf. Termo de Deferimento da Contratação Direta, DOMP, 1728, 08.04.2024 (EFL, 11.04.2024).</t>
  </si>
  <si>
    <t>LOCAÇÃO DE AUDITÓRIO COM ASSENTOS ACOLCHOADOS COM CAPACIDADE PARA 90 (NOVENTA) PESSOAS, PARA REALIZAÇÃO DO EVENTO SMART MP NA CIDADE DE SOBRAL-CE, NO DIA 11.04.2024, CONF. DISPENSA DE LICITAÇÃO Nº 007/2024 E ORDEM DE SERVIÇO 035/2024/ASCER.</t>
  </si>
  <si>
    <t>339039 - 14 - 2225.85</t>
  </si>
  <si>
    <t xml:space="preserve">SOBRALNET SERVICOS E TELECOMUNICACOES LTDA-ME </t>
  </si>
  <si>
    <t>1300487000190</t>
  </si>
  <si>
    <t xml:space="preserve">PGA 09.2023.00028746-8._x000D_
Lei 14.133/2021, art. 75, I, conf. Contrato 058/2023 (EFL, 23.04.2024)_x000D_
</t>
  </si>
  <si>
    <t>Lei 8.666/93, art. 24, X._x000D_
Proc. 28264/2016-4, conf. Contrato 026/2016 (pub. DJ 1505, 18.08.206, p. 48) (EFL, 24.04.2024).</t>
  </si>
  <si>
    <t>Lei 8.666/93, art. 24, inc. X, conf. Contrato 002/2004.</t>
  </si>
  <si>
    <t xml:space="preserve">Proc.: 09.2022.00019787-6._x000D_
Lei 8.666/93, art. 24, X, conf. Contrato 002/2023 (EFL, 25.04.2024)._x000D_
</t>
  </si>
  <si>
    <t>Proc.: 09.2021.00007924-4_x000D_
Lei 8.666/93, art. 24, X, conf. Contrato 027/2021 (EFL, 25.04.2024).</t>
  </si>
  <si>
    <t>Proc.: 09.2021.00007924-4._x000D_
Lei 8.666/93, art. 24, X, conf. Contrato 027/2021 (EFL, 25.04.2024).</t>
  </si>
  <si>
    <t>Proc.: 09.2021.00021973-9_x000D_
Lei 8.666/93, art. 24, X, conf. Contrato 045/2021 (EFL, 25.04.2024).</t>
  </si>
  <si>
    <t>Proc.: 45030/2017-6._x000D_
Lei 8.666/93, art. 24, X, conf. Contrato 074/2019 (EFL, 25.04.2024).</t>
  </si>
  <si>
    <t>Proc.: 28877/2017-1._x000D_
Lei 8.666/93, art. 24, X, conf. Contrato 024/2019 (EFL, 25.04,2024).</t>
  </si>
  <si>
    <t>Lei 8.666/1993 Art.24, X, conf. Contrato 084/2019.</t>
  </si>
  <si>
    <t xml:space="preserve">Lei 14.133/2021, art. 74, III, “f”, conf. TDCD pub. DOMP 1736, 18.04.2024 (EFL, 24.04.2024)._x000D_
</t>
  </si>
  <si>
    <t xml:space="preserve">CURSO IN COMPANY, NA MODALIDADE EAD, COM O TEMA ESCRITA JURÍDICA COM O CHATGPT: TEORIA E PRÁTICA - TURMA II, CONF. TERMO DE CONTRATAÇÃO DIRETA (DOMP 1736, 18.04.2024) E ORDEM DE SERVIÇO SN/ESMP, REF. MAI E JUN/2024. </t>
  </si>
  <si>
    <t xml:space="preserve">PGA 09.2023.00024123-8._x000D_
Lei 14.133/2021, art. 75, II, conf. Contrato 029/2024 (DOMP 1731, 11.04.2024, pp. 01-02) (EFL, 24.04.2024). _x000D_
</t>
  </si>
  <si>
    <t>GREGORI FIORINI PRODUÇÕES AUDIOVISUAIS E ARTÍSTICAS LTDA</t>
  </si>
  <si>
    <t>41789816000123</t>
  </si>
  <si>
    <t>Lei n° 14.133/2021, art. 72,  art. 74, Inciso III, alínea "f".</t>
  </si>
  <si>
    <t>CURSO MASTERCLASS DE FORMAÇÃO DE PREÇOS NAS CONTRATAÇÕES PÚBLICAS". DATA: 06/05 E 07/05. HORÁRIO: 8H ÁS 17:30H. CARGA HORÁRIA 16H, COM EDUARDO DOS SANTOS GUIMARÃES. ** PARTICIPANTE: FRANCISCO DYEGO VIEIRA RABELO  TÉCNICO MINISTERIAL  MATRÍCULA 216096-1-7.</t>
  </si>
  <si>
    <t>INSTITUTO NEGOCIOS PUBLICOS DO BRASIL - ESTUDOS E PESQUISAS NA ADMNIISTRACAO PUBLICA - INP - LTDA</t>
  </si>
  <si>
    <t>10498974000109</t>
  </si>
  <si>
    <t>Lei 8.666/1993 Art.24 , x e Contrato nº 017/2022/PGJ.</t>
  </si>
  <si>
    <t>Lei 8.666/1993 Art.24 ,x, e Contrato nº 061/2019/PGJ.</t>
  </si>
  <si>
    <t>=HIPERLINK("https://www8.mpce.mp.br/Empenhos/150001/Objeto/61-2019.pdf";"ALUGUEL DO IMÓVEL ONDE FUNCIONAM AS PROMOTORIAS DE JUSTIÇA DA COMARCA DE ACARAÚ EM CONSONÂNCIA AO CONTRATO 061/2019/PGJ, REF.AOS MESES DE  MAIO E JUNHO DE 2024.OBS: NO EMPENHO Nº 2024NE000284 (FLS. 3/4), O EMBASAMENTO LEGAL É O MESMO DESTE DOCUMENTO, QUAL SEJA: LEI Nº 8666/96, ART.24, X.")</t>
  </si>
  <si>
    <t>Lei 8.666/1993 Art.24 ,X e Contrato nº 014/2017/PGJ.</t>
  </si>
  <si>
    <t>=HIPERLINK("https://www8.mpce.mp.br/Empenhos/150001/Objeto/14-2017.pdf";"ALUGUEL DO IMÓVEL ONDE FUNCIONA O ALMOXARIFADO E PATRIMÔNIO, CONF.CONTRATO Nº 014/2017/PGJ, REF. AOS MESES DE MAIO E JUNHO DE 2024.OBS: NO EMPENHO Nº 2024NE000232 (FLS Nº 3/4), O EMBASAMENTO LEGAL É O MESMO DESTE DOCUMENTO, QUAL SEJA LEI Nº 8666/93, ART.24, X.")</t>
  </si>
  <si>
    <t>Lei 8.666/1993 Art.24 ,X e Contrato nº 016/2017/PGJ.</t>
  </si>
  <si>
    <t>ALUGUEL DO IMÓVEL ONDE FUNCIONAM AS PROMOTORIAS DE JUSTIÇA CRIMINAIS DE FORTALEZA, EM CONSONÂNCIA COM O CONTRATO Nº 016/2017/PGJ, REF. AOS MESES DE MAIO E JUNHO DE 2024.OBS: NO EMPENHO Nº 2024NE000233 (FLS Nº 3/4),  O EMBASAMENTO LEGAL É MESMO DESTE DOCUMENTO, QUAL SEJA: LEI Nº 8666, ART, 24, X.</t>
  </si>
  <si>
    <t>FUNDO DE REAPARELHAMENTO E MODERNIZAÇÃO DO MP DO CEARÁ</t>
  </si>
  <si>
    <t>23872706000149</t>
  </si>
  <si>
    <t>Lei 8.666/1993 Art.24 ,X  e Contrato_x000D_
nº 016/2017/PGJ.</t>
  </si>
  <si>
    <t>=HIPERLINK("https://www8.mpce.mp.br/Empenhos/150001/Objeto/16-2017.pdf";"ALUGUEL DO IMÓVEL ONDE FUNCIONAM AS PROMOTORIAS DE JUSTIÇA CRIMINAIS DE FORTALEZA, EM CONSONÂNCIA COM O CONTRATO Nº 016/2017/PGJ, REF. AOS MESES DE MAIO E JUNHO DE 2024.OBS: NO EMPENHO Nº 2024NE000233 (FLS Nº 3/4), O EMBASAMENTO LEGAL É O MESMO DESTE DOCUMENTO, QUAL SEJA: LEI Nº 8666/93, ART.24,X.")</t>
  </si>
  <si>
    <t>Lei 8.666/1993 Art.24 ,x e Contrato nº 034/2021/PGJ.</t>
  </si>
  <si>
    <t>=HIPERLINK("https://www8.mpce.mp.br/Empenhos/150001/Objeto/34-2021.pdf";"ALUGUEL DO IMÓVEL ONDE FUNCIONAM AS PROMOTORIAS DE JUSTIÇA DA COMARCA DE SÃO BENEDITO, EM ALUSÃO AO CONTRATO Nº 034/2021/PGJ, REF. AOS MESES DE MAIO E JUNHO DE 2024.OBS: NO EMPENHO Nº 2024NE000286 (FLS Nº3/4), O EMBASAMENTO LEGAL É MESMO DESTE DOCUMENTO, QUAL SEJA: LEI Nº 8666/93, ART.24, X.")</t>
  </si>
  <si>
    <t>Lei 8.666/1993 Art.24 ,x 5 e Contrato nº 051/2019/PGJ.</t>
  </si>
  <si>
    <t>=HIPERLINK("https://www8.mpce.mp.br/Empenhos/150001/Objeto/51-2019.pdf";"ALUGUEL DO IMÓVEL ONDE FUNCIONAM AS PROMOTORIAS DE JUSTIÇA DA COMARCA DE VIÇOSA DO CEARÁ, CONF. CONTRATO Nº 051/2019/PGJ, REF. AOS MESES DE MAIO E JUNHO DE 2024.OBS: NO EMPENHO Nº 2024NE000282 (FLS.7/8), O EMBASAMENTO LEGAL É O MESMO DESTE DOCUMENTO, QUAL SEJA: LEI Nº 8666/93, ART 24,X.")</t>
  </si>
  <si>
    <t>Lei 8.666/1993 Art.24 , X  e Contrato 025/2023.</t>
  </si>
  <si>
    <t>Lei 8.666/1993 Art.24 , x e Contrato_x000D_
nº 033/2021/PGJ.</t>
  </si>
  <si>
    <t>Lei 8.666/1993 Art.24 ,X e Contrato nº 036/2022/PGJ.</t>
  </si>
  <si>
    <t>Lei 8.666/1993 Art.24 ,x e Contrato nº 024/2023/PGJ.</t>
  </si>
  <si>
    <t>Lei 8.666/1993 Art.24 ,x e Contrato nº 028/2022/PGJ.</t>
  </si>
  <si>
    <t>Lei 8.666/1993 Art.24 , x e Contrato nº nº 016/2022/PGJ.</t>
  </si>
  <si>
    <t>Lei 8.666/1993 Art.24 ,X e Contrato nº 011/2023/PGJ.</t>
  </si>
  <si>
    <t>Lei 8.666/1993 Art.24, x e Contrato nº 038/2021/PGJ.</t>
  </si>
  <si>
    <t>Proc. licitação: 09.2022.00040909-4._x000D_
Lei 14.133/2021, art. 74, V, conf. Contrato 041/2023 (EFL, 03.05.2024).</t>
  </si>
  <si>
    <t>Lei 8.666/1993 Art.24 , x e Contrato nº 038/2022/PGJ.</t>
  </si>
  <si>
    <t xml:space="preserve">Proc. Licitação: 09.2023.00021416-3._x000D_
Lei 14.133/2021, conf. Contrato 056/2023._x000D_
</t>
  </si>
  <si>
    <t>PGA 09.2023.00021416-3. Lei 14.133/2021,_x000D_
conf. Contrato 056/2023.</t>
  </si>
  <si>
    <t>Lei 8.666/1993 Art.24  e Contrato nº 043/2013/CPL/PGJ.</t>
  </si>
  <si>
    <t>Proc. Dispensa de Licitação: 09.2022.00034375-1._x000D_
Lei 8.666/93, art. 24, X, conf. Contrato 008/2023 (EFL, 03.05.2024).</t>
  </si>
  <si>
    <t>Lei 8.666/93, art. 24, X (Proc. Dispensa de Licitação: 67950/2016-0), conf. Contrato 008/2017 (EFL, 03.05.2024).</t>
  </si>
  <si>
    <t>=HIPERLINK("https://www8.mpce.mp.br/Empenhos/150001/Objeto/08-2017.pdf";"EMPENHO REF. ALUGUEL DE IMÓVEL ONDE FUNCIONA SEDE DE PROMOTORIAS DE JUSTIÇA DA COMARCA DE JARDIM, CONF. CONTRATO 008/2017, REF. MAI E JUN, POR ESTIMATIVA.ERRATA:NO CAMPO "EMBASAMENTO LEGAL" DA NOTA DE EMPENHO 2024NE000273 DE FLS. 03/04, ONDE SE LÊ:"LEI N° 14.133/2021, ART. 75 E CONTRATO Nº 008/2017/PGJ."LEIA-SE:"LEI 8.666/93, ART. 24, X (PROC. DISPENSA DE LICITAÇÃO: 67950/2016-0), CONF. CONTRATO 008/2017".")</t>
  </si>
  <si>
    <t xml:space="preserve">Lei 8.666/93, art. 24, X. Proc. Dispensa de Licitação 09.2022.00023087-0, conf. Contrato 029/2022 (EFL, 06.05.2024)._x000D_
</t>
  </si>
  <si>
    <t>Lei 8.666/1993 Art.24 ,x  e Contrato nº 026/2027/PGJ.</t>
  </si>
  <si>
    <t xml:space="preserve">Proc. Inexigibilidade: 09.2023.00038559-0/SAJ-MPCE (DOMP 1720, 22.03.2024, pp. 09-10). Lei 14.133/2021, art. 74, I, conf. Contrato 025/2024 (EFL, 08.05.2024)._x000D_
</t>
  </si>
  <si>
    <t>GPBR PARTICIPACOES LTDA.</t>
  </si>
  <si>
    <t>15664649000184</t>
  </si>
  <si>
    <t>Lei 8.666/1993 Art.24 , x e Contrato nº 022/2010/CPL/PGJ.</t>
  </si>
  <si>
    <t>Lei 8.666/1993 Art.24 , x e Contrato nº 025/2021/PGJ.</t>
  </si>
  <si>
    <t>Lei 8.666/1993 Art.24 , X  e Contrato nº 025/2021.</t>
  </si>
  <si>
    <t>Lei 8.666/1993 Art.24 , x  e Contrato nº 016/2017/PGJ.</t>
  </si>
  <si>
    <t>Lei 8.666/1993 Art.24 , x e Contrato nº 016/2022/PGJ.</t>
  </si>
  <si>
    <t>Lei 8.666/1993 Art.24  e Contrato nº 033/2021/PGJ.</t>
  </si>
  <si>
    <t>Lei 8.666/1993 Art.24  e Contrato nº 010/2023/PGJ.</t>
  </si>
  <si>
    <t>Lei 8.666/1993 Art.24, x e Contrato nº 022/2010/CPL/PGJ.</t>
  </si>
  <si>
    <t>Lei 8.666/1993 Art.24 ,x e Contrato nº 039/2013/PGJ.</t>
  </si>
  <si>
    <t>Lei 8.666/1993 Art.24 , x e Contrato nº 018/2022/PGJ.</t>
  </si>
  <si>
    <t>Lei 8.666/1993 Art.24 e Contrato nº 024/2022.</t>
  </si>
  <si>
    <t>Lei n° 14.133/2021 E Contrato nº 036/2023/PGJ.</t>
  </si>
  <si>
    <t>Lei 8.666/1993 Art.24 , x e Contrato nº 029/2022/PGJ.</t>
  </si>
  <si>
    <t>Lei 8.666/1993 Art.24 ,x e Contrato nº 018/2022/PGJ.</t>
  </si>
  <si>
    <t>Lei 8.666/93 Art.25,II c/c art.13 e Contrato 047/2019.</t>
  </si>
  <si>
    <t>=HIPERLINK("https://www8.mpce.mp.br/Empenhos/150001/Objeto/47-2019.pdf";"REFERENTE A SOLICITAÇÃO PARA REALIZAR DE ESTUDO DE IMPACTO URBANÍSTICO - AMBIENTAL (SERVIÇOS TÉCNICO PROFISSIONAIS)  EM DECORRÊNCIA DAS OUTORGAS ONEROSAS EM VIAS DE DEFERIMENTO E/OU EFETIVAMENTE PELO MUNICÍPIO DE FORTALEZA - CONTRATO 047/2019 (INEXIGIBILIDADE), REF. AOS MESES DE MAIO A SETEMBRO, POR ESTIMATIVA.")</t>
  </si>
  <si>
    <t>Lei 8.666/93, art. 24, X (Proc. Dispensa de Licitação: 67950/2016-0), conf. Contrato 008/2017 (EFL, 21.05.2024).</t>
  </si>
  <si>
    <t xml:space="preserve">Proc. Inexigibilidade 09.2023.00025484-4. Lei 14.133/2021, art. 74, I, conf. Contrato 003/2024 (EFL, 22.05.2024)._x000D_
</t>
  </si>
  <si>
    <t>=HIPERLINK("https://www8.mpce.mp.br/Empenhos/150001/Objeto/03-2024.pdf";"EMPENHO REF. SERVIÇOS ESPECIALIZADOS DE EXTENSÃO DE GARANTIA DE EQUIPAMENTOS IBM, INCLUINDO O SERVIÇO DE MANUTENÇÃO TÉCNICO REMOTO, POR INEXIGIBILIDADE DE LICITAÇÃO, CONF. CONTRATO 003/2024, REF. EXERCÍCIO 2024, POR ESTIMATIVA.NOTA DE EMPENHO ELABORADA PELA COLEGA TÉCNICA MINISTERIAL GERMANA GONÇALVES DE SOUSA SALES, POSTERIORMENTE REVISADA E CONTABILIZADA POR EMANUEL FERREIRA LIMA, TÉCNICO MINISTERIAL, MAT. 168.356-1-7, NÚCLEO DE EMPENHO, FORTALEZA, 22.05.2024.")</t>
  </si>
  <si>
    <t>339040 - 78 - 3083.10</t>
  </si>
  <si>
    <t>IBM BRASIL-INDUSTRIA MAQUINAS E SERVICOS LIMITADA</t>
  </si>
  <si>
    <t>33372251006600</t>
  </si>
  <si>
    <t xml:space="preserve">Proc. Inexigibilidade: 09.2023.00025484-4. Lei 14.133/2021, art. 74, I, conf. Contrato 003/2024 (EFL, 22.05.2024)._x000D_
</t>
  </si>
  <si>
    <t>Proc. Dispensa de Licitação: 21507/2018-9. Lei 8.666/93, art. 24, X, conf. Contrato 051/2019.</t>
  </si>
  <si>
    <t>Lei 8.666/93, art. 24, X, conf. consta no Contrato 026/2017.</t>
  </si>
  <si>
    <t>Proc. Dispensa de Licitação: 09.2023.00038881-0. Lei 14.133/2021, art. 75, IX, conf. consta no Contrato 022/2024.</t>
  </si>
  <si>
    <t>339140 - 78 - 3093.16</t>
  </si>
  <si>
    <t>Lei 8.666/1993 Art.24 , Lei nº 8.245/91, lei nº 10.406/2002 e CONTRATO DE LOCAÇÃO: 025/2023/PGJ.</t>
  </si>
  <si>
    <t>Lei 8.666/1993 Art.24 , X  e Contrato nº 011/2023.</t>
  </si>
  <si>
    <t>Lei 8.666/1993 Art.24 , X E CONTRATO Nº 024/2023.</t>
  </si>
  <si>
    <t>Lei 8.666/1993 Art.24 , X e CONTRATO DE LOCAÇÃO: 008/2023/PGJ.</t>
  </si>
  <si>
    <t>Lei 8.666/1993 Art.24 , X E CONTRATO DE LOCAÇÃO: 010/2023/PGJ.</t>
  </si>
  <si>
    <t>Lei 8.666/1993 Art.24 , X  e CONTRATO DE LOCAÇÃO: 029/2022/PGJ.</t>
  </si>
  <si>
    <t>Lei 8.666/1993 Art.24 , X E CONTRATO DE LOCAÇÃO: 018/2022/PGJ.</t>
  </si>
  <si>
    <t>Lei 8.666/1993 Art.24 ,X E CONTRATO DE LOCAÇÃO: 016/2022/PGJ.</t>
  </si>
  <si>
    <t>Lei 8.666/1993 Art.24 , X E CONTRATO DE LOCAÇÃO: 017/2022/PGJ.</t>
  </si>
  <si>
    <t>Proc. Dispensa de Licitação 09.2024.00015900-2. Lei 14.133/2021, art. 75, VIII, conf. consta no TDCD, DOE 1768, 28.05.2024, p. 04.</t>
  </si>
  <si>
    <t>339040 - 78 - 3085.14</t>
  </si>
  <si>
    <t>ARKLOK - EQUIPAMENTOS DE INFORMÁTICA S.A,</t>
  </si>
  <si>
    <t>10489713000114</t>
  </si>
  <si>
    <t>Lei 8.666/1993 Art.24 ,X E CONTRATO DE LOCAÇÃO: 012/2022/PGJ.</t>
  </si>
  <si>
    <t>Lei 8.666/1993 Art.24 , X E CONTRATO DE LOCAÇÃO: 011/2022/PGJ.</t>
  </si>
  <si>
    <t>Lei 8.666/1993 Art.24 , X E CONTRATO DE LOCAÇÃO: 010/2022/PGJ.</t>
  </si>
  <si>
    <t>Proc. Dispensa de Licitação: 09.2021.00006419-5. Lei 8.666/93, art. 24, inc. X, conf. consta no extrato do Contrato 041/2021 (DOE 1143, 22.10.2021, pp. 21-22).</t>
  </si>
  <si>
    <t>Proc. Dispensa de Licitação: 09.2021.00006322-0. Lei 8.666/93, art. 24, X, conf. consta no Contrato 033/2021.</t>
  </si>
  <si>
    <t>Proc. Inexigibilidade: 09.2024.00012212-6. Lei 14.133/2021, art. 74, III, “f”, conf. Contrato 034/2024.</t>
  </si>
  <si>
    <t xml:space="preserve">SERH SERVIÇOS ESPECIALIZADOS EM REC HUMANOS SS LTDA </t>
  </si>
  <si>
    <t>35076587000105</t>
  </si>
  <si>
    <t>Lei 8.666/1993 Art.24 , X E CONTRATO 038/2021.</t>
  </si>
  <si>
    <t>Lei 8.666/1993 Art.24 , X E CONTRATO DE LOCAÇÃO: 048/2019/PGJ.</t>
  </si>
  <si>
    <t>Lei 8.666/1993 Art.24 , X E CONTRATO DE LOCAÇÃO: 002/2023/PGJ.</t>
  </si>
  <si>
    <t>Lei 8.666/1993 Art.24 , X E CONTRATO Nº 016/2017/PGJ.</t>
  </si>
  <si>
    <t>Lei 8.666/1993 Art.24 , X E CONTRATO DE LOCAÇÃO: 014/2017/PGJ.</t>
  </si>
  <si>
    <t>Lei n° 14.133/2021 E CONTRATO DE LOCAÇÃO: 054/2023/PGJ.</t>
  </si>
  <si>
    <t>Proc. Dispensa de Licitação: 09.2023.00038881-0. Lei 14.133/2021, art. 75, IX, conf. Contrato 022/2024.</t>
  </si>
  <si>
    <t>Lei 8.666/93, art. 25, inc. I. Proc. Inexigibilidade 29030/2017-6, conf. consta no Contrato 031/2018.</t>
  </si>
  <si>
    <t>Lei 8.666/93, art. 24, X (Proc. Dispensa de Licitação: 67950/2016-0), conf. consta no Contrato 008/2017.</t>
  </si>
  <si>
    <t>Proc. Dispensa de Licitação: 13209/2013-3. Lei 8.666/93, art. 24, X, conf. consta no Contrato 043/2013.</t>
  </si>
  <si>
    <t>Proc. Dispensa de Licitação: 1460/2013-6. Lei 8.666/93, art. 24, X, conf. consta no Contrato 039/2013.</t>
  </si>
  <si>
    <t>Proc. Dispensa de Licitação: 5759/2010-3. Lei 8.666/93, art. 24, X, conf. consta no Contrato 022/2010.</t>
  </si>
  <si>
    <t>Proc. Dispensa de Licitação: 28877/2017-1._x000D_
Lei 8.666/93, art. 24, X, conf. consta no Contrato 024/2019.</t>
  </si>
  <si>
    <t>Proc. Dispensa de Licitação: 19552/201-7._x000D_
Lei 8.666/93, art. 24, X, conf. consta no Contrato 085/2019.</t>
  </si>
  <si>
    <t xml:space="preserve">Proc. Dispensa de Licitação: 20048/2019-3 (DOMP 0706, 19.12.2019, p. 13)._x000D_
Lei 8.666/93, art. 24, X, conf. consta no Contrato 084/2019._x000D_
</t>
  </si>
  <si>
    <t>Proc. Dispensa de Licitação: 21507/2018-9_x000D_
Lei 8.666/93, art. 24, X, conf. consta no Contrato 051/2019.</t>
  </si>
  <si>
    <t>Proc. Dispensa de Licitação: 45030/2017-6._x000D_
Lei 8.666/93, art. 24, X, conf. consta no Contrato 074/2019.</t>
  </si>
  <si>
    <t>Proc. Dispensa de Licitação: 09.2022.00026419-3._x000D_
Lei 8.666/93, art. 24, X, conf. consta no Contrato 028/2022.</t>
  </si>
  <si>
    <t>Proc. Dispensa de Licitação: 36428/2016-5._x000D_
Lei 8.666/93, art. 24, X, conf. consta no Contrato 026/2017.</t>
  </si>
  <si>
    <t>Proc. Dispensa de Licitação: 09.2021.00016679-0._x000D_
Lei 8.666/93, conf. Contrato 024/2022.</t>
  </si>
  <si>
    <t>Proc. Dispensa de Licitação: 09.2021.00012122-6._x000D_
Lei 8.666/93, art. 24, X, conf. consta no Contrato 034/2021.</t>
  </si>
  <si>
    <t>Lei 14.133/2021, art. 75, II, conf. TDCD DOMP 1752, 08.05.2024, p. 08 (EFL, 14.05.2024).</t>
  </si>
  <si>
    <t>EMPENHO REF. PRESTAÇÃO DE SERVIÇO DE MASSOTERAPIA NO DIA 17/05/2024, DAS 9H00 ÀS 16H00, POR OCASIÃO DO EVENTO "INTEGRA MP DIA DAS MÃES", EM 06 (SEIS) POSTOS DE ATENDIMENTO, POR MEIO DISPENSA ELETRÔNICA, CONF. TERMO DE DEFERIMENTO DA CONTRATAÇÃO DIRETA PUB. DOMP 1752 DE 08.05.2024 E ORDEM DE SERVIÇO 009/2024/SEGEP.</t>
  </si>
  <si>
    <t>LILIA ALVES DA SILVA</t>
  </si>
  <si>
    <t>28801634000162</t>
  </si>
  <si>
    <t>Lei 14.133/2021, art. 75, II, conf. TDCD DOMP 1752, 08.05.2024, pp. 07-08 (EFL, 14.05.2024).</t>
  </si>
  <si>
    <t xml:space="preserve">EMPENHO REF. PRESTAÇÃO DE SERVIÇO DE PILATES EM DOIS POSTOS DE ATENDIMENTO, NOS DIAS 15 E 16/05/2024, POR OCASIÃO DO EVENTO "INTEGRA MP DIA DAS MÃES", POR MEIO DE DISPENSA ELETRÔNICA, CONF. TERMO DE DEFERIMENTO DA CONTRATAÇÃO DIRETA PUB. DOMP 1752 DE 08.05.2024 E ORDEM DE SERVIÇO 010/2024/SEGEP. </t>
  </si>
  <si>
    <t xml:space="preserve">YO FITNESS LTDA </t>
  </si>
  <si>
    <t>29101955000117</t>
  </si>
  <si>
    <t>Lei 14.133/2021, art. 75, II, conf. TDCD DOMP 1734, 16.04.2024, p. 01 (EFL, 14.05.2024).</t>
  </si>
  <si>
    <t>EMPENHO REF. FORNECIMENTO DE MATERIAIS E INSUMOS DE USO HOSPITALAR (ROTINAS BÁSICAS), POR MEIO DA DISPENSA ELETRÔNICA 008/2024, CONF. TERMO DE DEFERIMENTO DA CONTRATAÇÃO DIRETA PUB. DOMP 1734 DE 16.04.2024 , ORDEM DE COMPRA Nº 001/2024/SEGEP E DISPENSA DE LICITAÇÃO Nº 08/2024.</t>
  </si>
  <si>
    <t>339030 - 1 - 1874.09</t>
  </si>
  <si>
    <t>PANORAMA COMÉRCIO DE PRODUTOS MÉDICOS E FARMACÊUTICOS LTDA</t>
  </si>
  <si>
    <t>1722296000117</t>
  </si>
  <si>
    <t>EMPENHO REF. FORNECIMENTO DE MATERIAIS E INSUMOS DE USO HOSPITALAR (ROTINAS BÁSICAS), POR MEIO DA DISPENSA ELETRÔNICA 008/2024, CONF. TERMO DE DEFERIMENTO DA CONTRATAÇÃO DIRETA PUB. DOMP 1734 DE 16.04.2024 E ORDEM DE COMPRA Nº 002/2024/SEGEP.</t>
  </si>
  <si>
    <t>PROHOSPITAL COMERCIO HOLANDA LTDA</t>
  </si>
  <si>
    <t>9485574000171</t>
  </si>
  <si>
    <t>FORNECIMENTO DE ÁGUA RELATIVO AOS MESES DE MAIO E JUNHO DE 2024 PARA USO DESSE MINISTÉRIO PÚBLICO DO ESTADO DO CEARÁ.</t>
  </si>
  <si>
    <t>Lei nº 14.133/21 ,arts. 6º, XXIII e 40, §1º, Dispensa de licitação nº 013/2024 e ORDEM DE SERVIÇO nº 001/2024.</t>
  </si>
  <si>
    <t>REFERENTE A AQUISIÇÃO DE CARTÕES DE IDENTIFICAÇÃO FUNCIONAL, NO MODELO JÁ PADRONIZADO PELA PGJ/CE, PARA USO POR PARTE DE MEMBROS DO MINISTÉRIO PÚBLICO DO CEARÁ, CONF.  DISPENSA DE LICITAÇÃO Nº 013/2024 E ORDEM DE SERVIÇO Nº 001/2024.</t>
  </si>
  <si>
    <t>ALUPLAQ INDUSTRIA COMERCIO E REPRESENTACOES LTDA</t>
  </si>
  <si>
    <t>8289383000171</t>
  </si>
  <si>
    <t xml:space="preserve">DISPENSA 005/2023 (DOE 1527, 26/05/2023, pp. 01). Lei 8.666/93, art. 24, XXII, conf. Contrato 449/2023 (EFL, 17.05.2024)._x000D_
</t>
  </si>
  <si>
    <t>Lei n° 14.133/2021, Art. 74, III, alínea "f", art. 72, VIII, inexigibilidade.</t>
  </si>
  <si>
    <t>REFERENTE A CONTRATAÇÃO DE SERVIÇOS DE UM WORKSHOP IN COMPANY REALIZADO PELA EMPRESA MARILIA FIUZA TARGINO EPP. COM O TEMA PROGRAMA LÍDER EM TRANSFORMAÇÃO, VISANDO A CAPACITAÇÃO DE MEMBRO(S) RECÉM - INGRESSO(S) NA CARREIRA DO MINISTÉRIO PÚBLICO DE ESTADO DO CEARÁ, NO DIA 20 DE JUNHO DE 2024, COM CARGA HORÁRIA DE08H/A, NAS DEPENDÊNCIAS DA PROCURADORIA-GERAL DE JUSTIÇA. (INEXIGIBILIDADE).</t>
  </si>
  <si>
    <t>MARILIA  FIUZA  TARGINO  EPP</t>
  </si>
  <si>
    <t>14561595000169</t>
  </si>
  <si>
    <t>Lei 14.133/2021, art. 74, III, “f”, conf. TERMO DE DEFERIMENTO DA CONTRATAÇÃO DIRETA (PGA 09.2024.00013050-4, DOMP DOMP 1770, 31.05.2024, p. 02)</t>
  </si>
  <si>
    <t>EMPENHO REF. AQUISIÇÃO DE 05 (CINCO) INSCRIÇÕES EM UM CURSO DENOMINADO TRIBUNAIS SUPERIORES: TEORIA E PRÁTICA, NO FORMATO ASSÍNCRONO (GRAVADO) - COMPOSTO POR 13 (TREZE) AULAS, COM DURAÇÃO DE 1H15 (CADA), DIVIDIDAS EM 3 MÓDULOS: INTRODUTÓRIO, DOGMÁTICO E PRÁTICO -, POR MEIO DE INEXIGIBILIDADE DE LICITAÇÃO, CONF. TRCD PÚB. DOMP 1770, DE 31.05.2024, E ORDEM DE SERVIÇO S/N/ESMP.</t>
  </si>
  <si>
    <t>IBCCRIM INST BRAS CIENC CRIMINAIS</t>
  </si>
  <si>
    <t>68969302000106</t>
  </si>
  <si>
    <t>Lei 14.133/2021, art. 74, III, “f”, conf. TERMO DE DEFERIMENTO DA CONTRATAÇÃO DIRETA (PGA 09.2024.00015521-7, DOMP 1775, 07.06.2024, p. 02)</t>
  </si>
  <si>
    <t>EMPENHO REF. AQUISIÇÃO PRESTAÇÃO DE SERVIÇOS DE UM CURSO DE DE PRESTAÇÃO DE SERVIÇOS DE UM CURSO DE MEDIAÇÃO DE CONFLITOS E COMUNICAÇÃO NÃO VIOLENTA NOS CONTEXTOS FAMILIARES REALIZADO PELA PROFESSORA RAQUELDE MESQUITA RODRIGUES, VISANDO A CAPACITAÇÃO DE MEMBROS E SERVIDORES DOMINISTÉRIO PÚBLICO DE ESTADO DO CEARÁ, NO DIA 12 DE JUNHO DE 2024, COM CARGA HORÁRIA DE 04H/A, NAS DEPENDÊNCIAS DA ESCOLA SUPERIOR DO MINISTÉRIO PÚBLICO.</t>
  </si>
  <si>
    <t>RACHEL DE MESQUITA RODRIGUES</t>
  </si>
  <si>
    <t>1953555390</t>
  </si>
  <si>
    <t>EMPENHO REF. CONTRATAÇÃO DA MICROEMPRESA VANNICK DE SOUZA BELCHIOR ME., PARA APRESENTAÇÃO MUSICAL DA ARTISTA VANNICK BELCHIOR, PARA SHOW MUSICAL TRIBUTO A BELCHIOR, COM REPERTÓRIO DE OBRAS DO CANTOR BELCHIOR, PARA A ABERTURA DO EVENTO CONGRESSO ESTADUAL DO MINISTÉRIO PÚBLICO, PARA MEMBROS, SERVIDORES E COLABORADORES DO MINISTÉRIO PÚBLICO E CONVIDADOS, NO DIA 27 DE JUNHO DE 2024, ÀS 19:00H, NO TEATRO RACHEL DE QUEIROZ, NA CIDADE DE GUARAMIRANGA/CE.</t>
  </si>
  <si>
    <t>339039 - 14 - 2197.55</t>
  </si>
  <si>
    <t xml:space="preserve">VANNICK BELCHIOR EVENTOS </t>
  </si>
  <si>
    <t>43229091000144</t>
  </si>
  <si>
    <t>Lei 14.133/2021, art. 74, III, “f”, conf. TDCD pub. DOMP 1776, 10.06.2024, p. 01).</t>
  </si>
  <si>
    <t>EMPENHO REF. AQUISIÇÃO DE 07 (SETE) INSCRIÇÕES NO 2º CONGRESSO BRASILEIRO DA 14.133/2024, COM CARGA HORÁRIA DE 16H/A, A OCORRER NOS DIAS 12 A 14.06.2024, NO HOTEL GRAN MAREIRO, EM FORTALEZA-CE, CONF. TDCD DOMP 1776 E ORDEM DE SERVIÇO S/N/2024/ESMP.</t>
  </si>
  <si>
    <t>INSTITUTO PARTNER LTDA</t>
  </si>
  <si>
    <t>42912077000188</t>
  </si>
  <si>
    <t>Lei 14.133/2021, art. 74, II.</t>
  </si>
  <si>
    <t>EMPENHO REF. FORNECIMENTO DE ENERGIA ELÉTRICA EM ALTA TENSÃO A DIVERSAS UNIDADES MINISTERIAIS, POR MEIO DE INEXIGIBILIDADE DE LICITAÇÃO, REF. ABR, MAI E JUN/2024, POR ESTIMATIVA.</t>
  </si>
  <si>
    <t>EMPENHO REF. FORNECIMENTO DE ENERGIA ELÉTRICA EM BAIXA TENSÃO A DIVERSAS UNIDADES MINISTERIAIS, POR MEIO DE INEXIGIBILIDADE DE LICITAÇÃO, REF. ABR, MAI E JUN/2024, POR ESTIMATIVA.</t>
  </si>
  <si>
    <t>Proc. Dispensa de Licitação: 09.2021.00007924-4._x000D_
Lei 8.666/93, art. 24, X, conf. consta no Contrato 027/2021.</t>
  </si>
  <si>
    <t>Lei 8.666/1993 Art.24 , X e contrato nº 045/2021/PGJ.</t>
  </si>
  <si>
    <t>Lei 8.666/1993 Art.24 , x e contrato nº045/2021/PGJ.</t>
  </si>
  <si>
    <t>=HIPERLINK("https://www8.mpce.mp.br/Empenhos/150001/Objeto/45-2021.pdf";"EMPENHO DA 1ª PARCELA DO IPTU DE 2024, REF. AO IMÓVEL ONDE FUCIONAM AS PROMOTORIAS DE JUSTIÇA DE EUSÉBIO, LOCALIZADO NA AVENIDA EUSÉBIO DE QUEIROZ, 4808, CENTRO, ED. OFFICE &amp; MEDICAL CENTER EUSÉBIO (SALA TIPO B, NUMERAÇÃO 403) , CONF. CONTRATO Nº 045/2021/PGJ.")</t>
  </si>
  <si>
    <t>Lei 8.666/1993 Art.24 , x e contrato nº 045/2021/PGJ.</t>
  </si>
  <si>
    <t>=HIPERLINK("https://www8.mpce.mp.br/Empenhos/150001/Objeto/45-2021.pdf";"EMPENHO DA 2ª PARCELA DO IPTU DE 2024, REF. AO IMÓVEL ONDE FUNCIONAM AS PROMOTORIAS DE JUSTIÇA DE EUSÉBIO, LOCALIZADA NA AVENIDA EUSÉBIO DE QUEIROZ, 4808, CENTRO, ED. OFFICE &amp; MEDICAL CENTER EUSÉBIO (SALA TIPO B, NUMERAÇÃO 403), CONF. CONTRATO Nº 045/2021/PGJ.")</t>
  </si>
  <si>
    <t>Proc. Dispensa de Licitação: 09.2021.00021973-9._x000D_
Lei 8.666/93, art. 24, X, conf. consta no Contrato 045/2021.</t>
  </si>
  <si>
    <t>Lei 8.666/1993 Art.24 , e CONTRATO: 016/2017/PGJ</t>
  </si>
  <si>
    <t>=HIPERLINK("https://www8.mpce.mp.br/Empenhos/150001/Objeto/16-2017.pdf";"EMPENHO DA 5ª PARCELA DA TMRSU DE 2024, REF. AO IMÓVEL ONDE FUNCIONAM AS PROMOTORIAS DE JUSTIÇA CRIMINAIS DA COMARCA DE FORTALEZA, LOCALIZADA A AVENIDA CORONEL JOSÉ PHILOMENO, N° 222, BAIRRO ENGENHEIRO LUCIANO CAVALCANTE, FORTALEZA-CE, CONF. CONTRATO Nº 016/2017/PGJ.")</t>
  </si>
  <si>
    <t>Proc. Dispensa de Licitação: 09.2021.00015501-6._x000D_
Lei 8.666/93, art. 24, X, conf. consta no Contrato 026/2021.</t>
  </si>
  <si>
    <t>Lei n° 14.133/2021, Art. 74 E CONTRATO DE LOCAÇÃO: 056/2023/PGJ.</t>
  </si>
  <si>
    <t>Lei n° 14.133/2021, Art. 74 E CONTRATO DE LOCAÇÃO: 044/2023/PGJ.</t>
  </si>
  <si>
    <t>Proc. Dispensa de Licitação: 09.2021.00004780-8._x000D_
Lei 8.666/93, art. 24, X, conf. consta no Contrato 025/2021.</t>
  </si>
  <si>
    <t>Proc. Dispensa de Licitação: 09.2022.00034381-8._x000D_
Lei 8.666/93, art. 24, X, conf. consta no Contrato 024/2023.</t>
  </si>
  <si>
    <t>Proc. Dispensa de Licitação: 09.2022.00027614-5._x000D_
Lei 8.666/93, art. 24, X, conf. consta no Contrato 036/2022.</t>
  </si>
  <si>
    <t>Proc. Dispensa de Licitação: 09.2022.00009129-6._x000D_
Lei 8.666/93, art. 24, X, conf. consta no Contrato 033/2022.</t>
  </si>
  <si>
    <t>Proc. Inexigibilidade: 09.2024.00013208-0 (DOMP 1769, 29.05.2024, P. 02 e DOMP 1774, 06.06.2024, pp. 03 e 04)._x000D_
Lei 14.133/2021, art. 74, I, conf. consta no Contrato 040/2024.</t>
  </si>
  <si>
    <t>=HIPERLINK("https://www8.mpce.mp.br/Empenhos/150001/Objeto/40-2024.pdf";"EMPENHO REF. LICENÇA DE USO DO SOFTWARE CELLEBRITE GUARDIAN, INCLUINDO ACESSO NA NUVEM, COM 36 (TRINTA E SEIS) MESES DE MANUTENÇÃO, SUPORTE E REPASSE DE CONHECIMENTO DA SOLUÇÃO, POR INEXIGIBILIDADE DE LICITAÇÃO, CONF. CONTRATO 040/2024 E ORDEM DE FORNECIMENTO 002/2024/NATI.")</t>
  </si>
  <si>
    <t>Proc. Dispensa de Licitação: 23300/2019-5._x000D_
Lei 8.666/93, art. 24, X, conf. consta no Contrato 061/2019.</t>
  </si>
  <si>
    <t>Proc. Dispensa de Licitação 09.2023.00028746-8._x000D_
Lei 14.133/2021, art. 75, I, conf. consta no Contrato 058/2023.</t>
  </si>
  <si>
    <t>=HIPERLINK("https://www8.mpce.mp.br/Empenhos/150001/Objeto/58-2023.pdf";"EMPENHO REF. SERVIÇOS DE SUPORTE TÉCNICO DE SISTEMA E TREINAMENTO ESPECÍFICO PARA UTILIZAÇÃO DA SOLUÇÃO TECNOLÓGICA, CONF. CONTRATO 058/2023, REF. 2024, POR ESTIMATIVA.[EMPENHO SUBSTITUTIVO DAS NEDS 2024NE000389 E 2024NE000438, JÁ ANULADAS, EM RAZÃO DE RECENTE MUDANÇA NA CLASSIFICAÇÃO DEFINIDA PELA SEFAZ, QUE PASSOU A VEDAR A UTILIZAÇÃO DE NATUREZA CONTENDO A MODALIDADE "90" EM EMPENHOS ATINENTES A CREDORES PERTENCENTES AO MESMO ENTE FEDERATIVO DO ÓRGÃO CONTRATANTE.]")</t>
  </si>
  <si>
    <t>339140 - 78 - 3078.04</t>
  </si>
  <si>
    <t>Proc. Dispensa de Licitação 09.2024.00012037-2._x000D_
Lei 14.133/2021, art. 75, XV, conf. consta no Contrato 041/2024.</t>
  </si>
  <si>
    <t>339039 - 14 - 2224.83</t>
  </si>
  <si>
    <t>INSTITUTO EUVALDO LODI NUCLEO DO CEARA</t>
  </si>
  <si>
    <t>7084577000178</t>
  </si>
  <si>
    <t>Proc. Dispensa de Licitação 09.2021.00034997-4._x000D_
Lei 8.666/93, art. 24, XVI, conf. consta no Contrato 001/2022.</t>
  </si>
  <si>
    <t>=HIPERLINK("https://www8.mpce.mp.br/Empenhos/150001/Objeto/01-2022.pdf";"EMPENHO REF. SERVIÇO DE DISPONIBILIZAÇÃO DE SOLUÇÃO TECNOLÓGICA (SAAS), CONF. CONTRATO 001/2022, REF. ABR, MAI E JUN/2024, POR ESTIMATIVA.[EMPENHO SUBSTITUTIVO DA NEDS 2024NE000329, JÁ ANULADA, EM RAZÃO DE RECENTE MUDANÇA NA CLASSIFICAÇÃO DEFINIDA PELA SEFAZ, QUE PASSOU A VEDAR A UTILIZAÇÃO DE NATUREZA CONTENDO A MODALIDADE "90" EM EMPENHOS ATINENTES A CREDORES PERTENCENTES AO MESMO ENTE FEDERATIVO DO ÓRGÃO CONTRATANTE.]")</t>
  </si>
  <si>
    <t>Proc. Dispensa de Licitação: 8422/2017-0._x000D_
Lei 8.666/93, art. 24, X, conf. consta no Contrato 016/2017.</t>
  </si>
  <si>
    <t>Lei 8.666/93 Art.25 - Caput, 4º Aditivo ao Contrato nº 002/2021/PGJ.</t>
  </si>
  <si>
    <t>Lei n° 14.133/2021, Art. 74, Contrato nº 015/2023.</t>
  </si>
  <si>
    <t>=HIPERLINK("https://www8.mpce.mp.br/Empenhos/150001/Objeto/15-2023.pdf";"EXECUTIVE PROGRAMS LEADERSHIP TEAM PLUS LEADER E TEAM PLUS IT EXECUTIVE _ LICENÇA DE ATUAÇÃO ESTRATÉGICA DE APOIO E ACONSELHAMENTO PARA EXECUTIVO DE TI, P/ USUÁRIO EXECUTIVO TITULAR, INCLUINDO ACESSO A UM CONSELHEIRO EXECUTIVO, ACESSO A ANALISTAS E A BASE DE CONHECIMENTO DESTINADAS AO NÍVEL DE ATUAÇÃO GERENCIAL, REF. AO MESES DE MAIO E JUNHO DE 2024, CONF. CONTRATO Nº 015/2023.")</t>
  </si>
  <si>
    <t>Proc. Dispensa de Licitação 09.2023.00011736-3._x000D_
Lei 14.133/2021, art. 75, IX, conf. consta no Contrato 032/2023.</t>
  </si>
  <si>
    <t>Lei 8.666/1993 Art.24  e Contrato nº 006/2020.</t>
  </si>
  <si>
    <t>339140 - 78 - 2488.02</t>
  </si>
  <si>
    <t>Proc. Dispensa de Licitação: 09.2023.00038881-0._x000D_
Lei 14.133/2021, art. 75, IX, conf. consta no Contrato 022/2024.</t>
  </si>
  <si>
    <t>Lei 8.666/1993 Art.24 E CONTRATO Nº 038/2022.</t>
  </si>
  <si>
    <t>Lei 8.666/1993 Art.24 , XVI E CONTRATO Nº 023/2022.</t>
  </si>
  <si>
    <t>=HIPERLINK("https://www8.mpce.mp.br/Empenhos/150001/Objeto/23-2022.pdf";"PRESTAÇÃO DE SERVIÇOS EM NUVEM, ENGLOBANDO SERVIÇOS NAS MODALIDADES DE INFRAESTRUTURA COMO SERVIÇOS (IAAS), DE SOFTWARE COMO SERVIÇO (SAAS) E PLATAFORMA COMO SERVIÇO (PAAS), INCLUINDO SERVIÇOS TÉCNICOS ESPECIALIZADOS DE CONSULTORIA, SUPORTE, ADMINISTRAÇÃO E MONITORAMENTO PARA IMPLEMENTAÇÃO DE SOLUÇÕES EM NUVEM E LINK DEDICADO PARA NUVEM, REF. AO MÊS DE JULHO, PROPORCIONAL A 22 DIAS DE 2024, CONF. CONTRATO Nº 023/2022.")</t>
  </si>
  <si>
    <t>Lei n° 14.133/2021, Art. 75, IX E CONTRATO Nº 032/2023.</t>
  </si>
  <si>
    <t>Lei n° 14.133/2021, Art. 74, I E CONTRATO Nº 042/2024.</t>
  </si>
  <si>
    <t>339040 - 78 - 3093.16</t>
  </si>
  <si>
    <t>Lei n° 14.133/2021, Art. 74, I e Contrato nº 042/2024.</t>
  </si>
  <si>
    <t>Lei n° 14.133/2021, Art. 74, I E CONTRATO Nº 059/2023.</t>
  </si>
  <si>
    <t>Lei 8.666/93 Art.25 - Caput E CONTRATO Nº 009/2022.</t>
  </si>
  <si>
    <t>Lei 8.666/1993 Art.24 , II E CONTRATO Nº 028/2020.</t>
  </si>
  <si>
    <t>Lei n° 14.133/2021, Art. 74,III,C e Contrato nº 015/2023.</t>
  </si>
  <si>
    <t>=HIPERLINK("https://www8.mpce.mp.br/Empenhos/150001/Objeto/15-2023.pdf";"PRESTAÇÃO DE SERVIÇOS TÉCNICOS ESPECIALIZADOS DE PESQUISA E ACONSELHAMENTO IMPARCIAL EM TECNOLOGIA DA INFORMAÇÃO- EXECUTIVE PROGRAMS LEADERSHIP TEAM PLUS LEADER E TEAM PLUS IT EXECUTIVE _ LICENÇA DE ATUAÇÃO ESTRATÉGICA DE APOIO E ACONSELHAMENTO PARA EXECUTIVO DE TI, P/ USUÁRIO EXECUTIVO TITULAR, INCLUINDO ACESSO A UM CONSELHEIRO EXECUTIVO, ACESSO A ANALISTAS E A BASE DE CONHECIMENTO DESTINADAS AO NÍVEL DE ATUAÇÃO GERENCIAL, REF. AO MÊS DE JULHO DE 2024, CONF. CONTRATO 015/2023.")</t>
  </si>
  <si>
    <t>Lei 8.666/1993 Art.24  E CONTRATO Nº 025/2023.</t>
  </si>
  <si>
    <t>Lei 8.666/1993 Art.24 , inciso VIII</t>
  </si>
  <si>
    <t>Lei 14.133/2021, art. 74, caput, conf. consta no TERMO DE DEFERIMENTO DA CONTRATAÇÃO DIRETA (pub. DOMP 1781, 17/06/2024, P. 02).</t>
  </si>
  <si>
    <t>EMPENHO REF. CONTRIBUIÇÃO ANUAL DO COLÉGIO DE DIRETORES DE ESCOLAS E CENTROS DE ESTUDOS E APERFEIÇOAMENTO FUNCIONAL DOS MINISTÉRIOS PÚBLICOS DO BRASIL-CDEMP, POR INEXIGILIDADE DE LICITAÇÃO, CONF. TDCD DOMP 1781 E ORDEM DE SERVIÇO SN/ESMP, REF. 2024.</t>
  </si>
  <si>
    <t>339039 - 14 - 2234.94</t>
  </si>
  <si>
    <t>CDEMP</t>
  </si>
  <si>
    <t>20519953000178</t>
  </si>
  <si>
    <t>Proc. Inexigibilidade: 09.2024.00020700-0._x000D_
Lei 14.133/2021, art. 74, caput, conf. consta no TERMO DE DEFERIMENTO DA CONTRATAÇÃO DIRETA (fls. 02).</t>
  </si>
  <si>
    <t>EMPENHO REF. LOCAÇÃO DE AUDITÓRIO, PARA REALIZAÇÃO DO CONGRESSO ESTADUAL DO MINISTÉRIO PÚBLICO, POR INEXIGIBILIDADE DE LICITAÇÃO, CONF. ORDEM DE SERVIÇO SN/2024/ESMP, REF. 25-28/JUN/2024.</t>
  </si>
  <si>
    <t>INST FED DE EDUC CIENC TECNOL DO CEARA</t>
  </si>
  <si>
    <t>10744098000145</t>
  </si>
  <si>
    <t>DISPENSA ELETRÔNICA 014/2024._x000D_
Lei 14.133/2021, art. 75, II, conf. consta no Aviso de Contratação Direta 90014/2024.</t>
  </si>
  <si>
    <t>EMPENHO REF. UTENSÍLIOS DE COPA E COZINHA, CONF. DISPENSA ELETREÔNICA 014/2024 E ORDEM DE COMPRA 070/2024/SEAD.</t>
  </si>
  <si>
    <t>339030 - 1 - 1885.24</t>
  </si>
  <si>
    <t>ALPHA THERA DISTRIBUIDORA LTDA</t>
  </si>
  <si>
    <t>38174919000174</t>
  </si>
  <si>
    <t>Lei n° 14.133/2021, art. 75, II-  Dispensa.</t>
  </si>
  <si>
    <t>REFERENTE A SOLICITAÇÃO PARA CONTRATAÇÃO, ATRAVÉS DE DISPENSA ELETRÔNICA, DE AMBULÂNCIA PARA ATENDER O CONGRESSO ESTADUAL DO MINISTÉRIO PÚBLICO DO CEARÁ.</t>
  </si>
  <si>
    <t>339039 - 14 - 2161.22</t>
  </si>
  <si>
    <t>DPR SERVIÇOS DE SAUDE LTDA</t>
  </si>
  <si>
    <t>13048875000296</t>
  </si>
  <si>
    <t>TAXA DE ÁGUA PARA AS PROMOTORIAS DE CANINDÉ, REF. AO MÊS DE JULHO DE 2024.</t>
  </si>
  <si>
    <t>FORNECIMENTO DE ÁGUA PARA A PROMOTORIA DE JUSTIÇA DE BREJO SANTO, REF. JULHO À SETEMBRO/2024, POR ESTIMATIVA.</t>
  </si>
  <si>
    <t>FORNECIMENTO DE ÁGUA PARA A PROMOTORIA DE JUSTIÇA DE JARDIM, REF. JULHO À SETEMBRO/2024, POR ESTIMATIVA.</t>
  </si>
  <si>
    <t>FORNECIMENTO DE ÁGUA PARA A PROMOTORIA DE JUSTIÇA DE LIMOEIRO DO NORTE, REF. JULHO/2024.</t>
  </si>
  <si>
    <t>FORNECIMENTO DE ÁGUA PARA A PROMOTORIA DE JUSTIÇA DE JUCÁS, REF. JULHO/2024.</t>
  </si>
  <si>
    <t>EMPENHO REF. FORNECIMENTO DE ÁGUA PARA A PROMOTORIA DE JUSTIÇA DE GRANJA-CE, POR INEXIGIBILIDADE DE LICITAÇÃO, REF. JUL, AGO E SET/2024, POR ESTIMATIVA.</t>
  </si>
  <si>
    <t>EMPENHO REF. FORNECIMENTO DE ÁGUA PARA A PROMOTORIA DE JUSTIÇA DE ICÓ-CE, POR MEIO DE INEXIGIBILIDADE DE LICITAÇÃO, REF. JUL, AGO E SET/2024, POR ESTIMATIVA</t>
  </si>
  <si>
    <t>SERVIÇOS DE ÁGUA E ESGOTO PARA AS PROMOTORIAS DO CRATO, REF. AO MÊS DE JULHO DE 2024.</t>
  </si>
  <si>
    <t>EMPENHO REF. FORNECIMENTO DE ÁGUA DE IMÓVEL SITUADO NO IGUATU, ONDE FUNCIONA SEDE DE PROMOTORIA DE JUSTIÇA DAQUELA COMARCA, REF. JUL, AGO E SET/2024, POR ESTIMATIVA.</t>
  </si>
  <si>
    <t>SERVIÇOS DE ÁGUA E ESGOTO PARA AS PROMOTORIAS DE JAGUARIBE, REF. AOS MESES DE JULHO À SETEMBRO DE 2024.</t>
  </si>
  <si>
    <t>SERVIÇOS DE ÁGUA E ESGOTO PARA AS PROMOTORIAS DE MORADA NOVA, REF. AOS MESES DE JULHO À SETEMBRO DE 2024.</t>
  </si>
  <si>
    <t>EMPENHO REF. FORNECIMENTO DE ÁGUA DE IMÓVEL SITUADO EM ITAPAJÉ-CE, ONDE FUNCIONA SEDE DE PROMOTORIA DE JUSTIÇA DAQUELA COMARCA, REF. JUL, AGO E SET/2024, POR ESTIMATIVA.</t>
  </si>
  <si>
    <t>EMPENHO REF. FORNECIMENTO DE ÁGUA PARA IMÓVEL SITUADO EM QUIXERAMOBIM-CE, ONDE FUNCIONA SEDE DE PROMOTORIA DE JUSTIÇA DAQUELA COMARCA, REF. JUL, AGO E SET/2024, POR ESTIMATIVA.</t>
  </si>
  <si>
    <t>EMPENHO REF. FORNECIMENTO DE ÁGUA DE IMÓVEL SITUADO EM SOBRAL-CE, ONDE FUNCIONA SEDE DE PROMOTORIA DE JUSTIÇA DAQUELA COMARCA, REF. JUL, AGO E SET/2024, POR ESTIMATIVA.</t>
  </si>
  <si>
    <t>EMPENHO REF. FORNECIMENTO DE ÁGUA E ESGOTO REF. JUL/2024, POR ESTIMATIVA.</t>
  </si>
  <si>
    <t>EMPENHO REF. FORNECIMENTO DE ÁGUA PARA A SEDE DE PROMOTORIA DE JUSTIÇA DA COMARCA DE SOLONÓPOLE, REF. JUL, AGO E SET/2024, POR ESTIMATIVA.</t>
  </si>
  <si>
    <t>Lei n° 14.133/2021, Art. 74, II, alínea "f" e Ordem de Serviço nº 012/2024.</t>
  </si>
  <si>
    <t>INSCRIÇÃO EM CURSO DE CAPACITAÇÃO: CURSO BÁSICO DE INVENTÁRIO FÍSICO PATRIMONIAL E DE ALMOXARIFADO- ( 02 INSCRIÇÕES PARA SERVIDORES: 1-GUILHERME VINICIUS DUETE CAVALCANTE E 2-EMÍLIA VANELI DE OLIVEIRA), CONF. ORDEM DE SERVIÇO Nº 012/2024 - MODALIDADE PRESENCIAL, A OCORRER EM FLORIANÓPLIS -SC, NO PERÍODO DE 28 A 30 DE AGOSTO. (ATIVIDADE OBRIGATÓRIA, FISCALIZADA PELOS ÓRGÃO DE CONTROLE EXTERNO, CONF. ATO NORMATIVO Nº 202/2021).</t>
  </si>
  <si>
    <t>GERSON DOS SANTOS TREINAMENTOS</t>
  </si>
  <si>
    <t>31433068000198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</si>
</sst>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name val="Arial"/>
      <family val="2"/>
    </font>
    <font>
      <u/>
      <sz val="11"/>
      <color theme="10"/>
      <name val="Calibri"/>
      <family val="2"/>
      <scheme val="minor"/>
    </font>
    <font>
      <sz val="10"/>
      <color rgb="FF000000"/>
      <name val="Arial"/>
      <family val="2"/>
      <charset val="1"/>
    </font>
    <font>
      <sz val="8"/>
      <name val="Arial"/>
      <family val="2"/>
    </font>
    <font>
      <u/>
      <sz val="8"/>
      <color theme="10"/>
      <name val="Arial"/>
      <family val="2"/>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FFFF00"/>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vertical="center" wrapText="1" justifyLastLine="1"/>
    </xf>
    <xf numFmtId="0" fontId="3" fillId="0" borderId="1" xfId="0" applyFont="1" applyBorder="1" applyAlignment="1">
      <alignment vertical="center"/>
    </xf>
    <xf numFmtId="0" fontId="4" fillId="0" borderId="1" xfId="0" applyFont="1" applyBorder="1" applyAlignment="1">
      <alignment horizontal="center" vertical="center" wrapText="1" justifyLastLine="1"/>
    </xf>
    <xf numFmtId="0" fontId="5" fillId="0" borderId="1" xfId="1" applyFont="1" applyBorder="1" applyAlignment="1">
      <alignment horizontal="center" vertical="center" wrapText="1" justifyLastLine="1"/>
    </xf>
    <xf numFmtId="14" fontId="4" fillId="0" borderId="1" xfId="0" applyNumberFormat="1" applyFont="1" applyBorder="1" applyAlignment="1">
      <alignment horizontal="center" vertical="center" wrapText="1" justifyLastLine="1"/>
    </xf>
    <xf numFmtId="0" fontId="7" fillId="0" borderId="1" xfId="1" applyFont="1" applyBorder="1" applyAlignment="1" applyProtection="1">
      <alignment horizontal="center" vertical="center"/>
    </xf>
    <xf numFmtId="4" fontId="3" fillId="3" borderId="1" xfId="0" applyNumberFormat="1" applyFont="1" applyFill="1" applyBorder="1" applyAlignment="1">
      <alignment horizontal="right" vertical="center"/>
    </xf>
    <xf numFmtId="0" fontId="3" fillId="0" borderId="1" xfId="0" applyFont="1" applyBorder="1" applyAlignment="1">
      <alignment horizontal="left" vertical="center" wrapText="1"/>
    </xf>
    <xf numFmtId="14" fontId="6" fillId="0" borderId="1" xfId="0" applyNumberFormat="1" applyFont="1" applyBorder="1" applyAlignment="1">
      <alignment horizontal="left" vertical="center" wrapText="1" justifyLastLine="1"/>
    </xf>
    <xf numFmtId="0" fontId="0" fillId="0" borderId="0" xfId="0" applyAlignment="1">
      <alignment wrapText="1"/>
    </xf>
    <xf numFmtId="49" fontId="1" fillId="2" borderId="1" xfId="0" applyNumberFormat="1" applyFont="1" applyFill="1" applyBorder="1" applyAlignment="1">
      <alignment horizontal="center" vertical="center" wrapText="1" justifyLastLine="1"/>
    </xf>
    <xf numFmtId="49" fontId="3" fillId="0" borderId="1" xfId="0" applyNumberFormat="1" applyFont="1" applyBorder="1" applyAlignment="1">
      <alignment horizontal="right" vertical="center" wrapText="1"/>
    </xf>
    <xf numFmtId="49" fontId="0" fillId="0" borderId="0" xfId="0" applyNumberFormat="1"/>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7461D-646D-4E3D-8EEA-F1F2D9B59514}">
  <dimension ref="A1:Z2000"/>
  <sheetViews>
    <sheetView tabSelected="1" topLeftCell="A323" workbookViewId="0">
      <selection activeCell="G460" sqref="G460"/>
    </sheetView>
  </sheetViews>
  <sheetFormatPr defaultRowHeight="15" x14ac:dyDescent="0.25"/>
  <cols>
    <col min="1" max="1" width="21" customWidth="1"/>
    <col min="2" max="2" width="26.140625" customWidth="1"/>
    <col min="3" max="3" width="23.140625" customWidth="1"/>
    <col min="4" max="4" width="22.7109375" customWidth="1"/>
    <col min="5" max="5" width="58" style="10" customWidth="1"/>
    <col min="6" max="6" width="24.7109375" customWidth="1"/>
    <col min="7" max="7" width="18.7109375" customWidth="1"/>
    <col min="8" max="8" width="18" customWidth="1"/>
    <col min="9" max="9" width="30" customWidth="1"/>
    <col min="10" max="10" width="23.85546875" style="13" customWidth="1"/>
    <col min="11" max="24" width="9.140625" hidden="1" customWidth="1"/>
    <col min="25" max="28" width="0" hidden="1" customWidth="1"/>
  </cols>
  <sheetData>
    <row r="1" spans="1:26" ht="24" x14ac:dyDescent="0.25">
      <c r="A1" s="1" t="s">
        <v>0</v>
      </c>
      <c r="B1" s="1" t="s">
        <v>1</v>
      </c>
      <c r="C1" s="1" t="s">
        <v>2</v>
      </c>
      <c r="D1" s="1" t="s">
        <v>3</v>
      </c>
      <c r="E1" s="1" t="s">
        <v>4</v>
      </c>
      <c r="F1" s="1" t="s">
        <v>5</v>
      </c>
      <c r="G1" s="1" t="s">
        <v>6</v>
      </c>
      <c r="H1" s="1" t="s">
        <v>7</v>
      </c>
      <c r="I1" s="1" t="s">
        <v>8</v>
      </c>
      <c r="J1" s="11" t="s">
        <v>9</v>
      </c>
    </row>
    <row r="2" spans="1:26" x14ac:dyDescent="0.25">
      <c r="A2" s="1" t="s">
        <v>10</v>
      </c>
      <c r="B2" s="1" t="s">
        <v>11</v>
      </c>
      <c r="C2" s="1" t="s">
        <v>12</v>
      </c>
      <c r="D2" s="1" t="s">
        <v>13</v>
      </c>
      <c r="E2" s="1" t="s">
        <v>14</v>
      </c>
      <c r="F2" s="1" t="s">
        <v>15</v>
      </c>
      <c r="G2" s="1" t="s">
        <v>16</v>
      </c>
      <c r="H2" s="1" t="s">
        <v>17</v>
      </c>
      <c r="I2" s="1" t="s">
        <v>18</v>
      </c>
      <c r="J2" s="11" t="s">
        <v>19</v>
      </c>
    </row>
    <row r="3" spans="1:26" ht="38.25" x14ac:dyDescent="0.25">
      <c r="A3" s="2" t="s">
        <v>20</v>
      </c>
      <c r="B3" s="3" t="s">
        <v>21</v>
      </c>
      <c r="C3" s="4" t="str">
        <f>HYPERLINK("https://transparencia-area-fim.mpce.mp.br/#/consulta/processo/pastadigital/092024000020553","09.2024.00002055-3")</f>
        <v>09.2024.00002055-3</v>
      </c>
      <c r="D3" s="5">
        <v>45317</v>
      </c>
      <c r="E3" s="9" t="s">
        <v>23</v>
      </c>
      <c r="F3" s="3" t="s">
        <v>70</v>
      </c>
      <c r="G3" s="6" t="str">
        <f>HYPERLINK("http://www8.mpce.mp.br/Empenhos/150001/NE/2024NE000002.pdf","2024NE000002")</f>
        <v>2024NE000002</v>
      </c>
      <c r="H3" s="7">
        <v>300</v>
      </c>
      <c r="I3" s="8" t="s">
        <v>25</v>
      </c>
      <c r="J3" s="12" t="s">
        <v>26</v>
      </c>
      <c r="K3" t="s">
        <v>26</v>
      </c>
      <c r="L3" t="s">
        <v>51</v>
      </c>
      <c r="M3" t="s">
        <v>23</v>
      </c>
      <c r="N3" t="s">
        <v>52</v>
      </c>
      <c r="O3" t="s">
        <v>22</v>
      </c>
      <c r="P3">
        <v>339039</v>
      </c>
      <c r="Q3">
        <v>14</v>
      </c>
      <c r="R3">
        <v>218444</v>
      </c>
      <c r="S3" t="s">
        <v>24</v>
      </c>
      <c r="T3" t="s">
        <v>53</v>
      </c>
      <c r="U3" t="s">
        <v>53</v>
      </c>
      <c r="W3" t="s">
        <v>54</v>
      </c>
      <c r="Y3" t="s">
        <v>24</v>
      </c>
      <c r="Z3" t="s">
        <v>22</v>
      </c>
    </row>
    <row r="4" spans="1:26" ht="51" x14ac:dyDescent="0.25">
      <c r="A4" s="2" t="s">
        <v>20</v>
      </c>
      <c r="B4" s="3" t="s">
        <v>21</v>
      </c>
      <c r="C4" s="4" t="str">
        <f>HYPERLINK("https://transparencia-area-fim.mpce.mp.br/#/consulta/processo/pastadigital/092021000000456","09.2021.00000045-6")</f>
        <v>09.2021.00000045-6</v>
      </c>
      <c r="D4" s="5">
        <v>45316</v>
      </c>
      <c r="E4" s="9" t="str">
        <f>HYPERLINK("https://www8.mpce.mp.br/Empenhos/150001/Objeto/02-2021.pdf","SERVIÇOS DE SUPORTE TÉCNICO DA SOLUÇÃO GUARDIÃO WEB-BY, CONMFORME CONTRATO 02/2021 E PROJETO 19/2023. POR ESTIMATIVA  PARA OS MESES DE JANEIRO A MARÇO DE 2024.")</f>
        <v>SERVIÇOS DE SUPORTE TÉCNICO DA SOLUÇÃO GUARDIÃO WEB-BY, CONMFORME CONTRATO 02/2021 E PROJETO 19/2023. POR ESTIMATIVA  PARA OS MESES DE JANEIRO A MARÇO DE 2024.</v>
      </c>
      <c r="F4" s="3" t="s">
        <v>71</v>
      </c>
      <c r="G4" s="6" t="str">
        <f>HYPERLINK("http://www8.mpce.mp.br/Empenhos/150501/NE/2024NE000003.pdf","2024NE000003")</f>
        <v>2024NE000003</v>
      </c>
      <c r="H4" s="7">
        <v>54790.38</v>
      </c>
      <c r="I4" s="8" t="s">
        <v>33</v>
      </c>
      <c r="J4" s="12" t="s">
        <v>34</v>
      </c>
      <c r="K4" t="s">
        <v>34</v>
      </c>
      <c r="L4" t="s">
        <v>51</v>
      </c>
      <c r="M4" t="s">
        <v>32</v>
      </c>
      <c r="N4" t="s">
        <v>57</v>
      </c>
      <c r="O4" t="s">
        <v>66</v>
      </c>
      <c r="P4">
        <v>339040</v>
      </c>
      <c r="Q4">
        <v>78</v>
      </c>
      <c r="R4">
        <v>308007</v>
      </c>
      <c r="S4" t="s">
        <v>29</v>
      </c>
      <c r="T4" t="s">
        <v>58</v>
      </c>
      <c r="U4" t="s">
        <v>66</v>
      </c>
      <c r="W4" t="s">
        <v>67</v>
      </c>
      <c r="X4" t="s">
        <v>68</v>
      </c>
      <c r="Y4" t="s">
        <v>29</v>
      </c>
      <c r="Z4" t="s">
        <v>66</v>
      </c>
    </row>
    <row r="5" spans="1:26" ht="38.25" x14ac:dyDescent="0.25">
      <c r="A5" s="2" t="s">
        <v>20</v>
      </c>
      <c r="B5" s="3" t="s">
        <v>21</v>
      </c>
      <c r="C5" s="4" t="str">
        <f>HYPERLINK("https://transparencia-area-fim.mpce.mp.br/#/consulta/processo/pastadigital/092024000020564","09.2024.00002056-4")</f>
        <v>09.2024.00002056-4</v>
      </c>
      <c r="D5" s="5">
        <v>45317</v>
      </c>
      <c r="E5" s="9" t="s">
        <v>28</v>
      </c>
      <c r="F5" s="3" t="s">
        <v>70</v>
      </c>
      <c r="G5" s="6" t="str">
        <f>HYPERLINK("http://www8.mpce.mp.br/Empenhos/150001/NE/2024NE000003.pdf","2024NE000003")</f>
        <v>2024NE000003</v>
      </c>
      <c r="H5" s="7">
        <v>1050</v>
      </c>
      <c r="I5" s="8" t="s">
        <v>30</v>
      </c>
      <c r="J5" s="12" t="s">
        <v>31</v>
      </c>
      <c r="K5" t="s">
        <v>31</v>
      </c>
      <c r="L5" t="s">
        <v>51</v>
      </c>
      <c r="M5" t="s">
        <v>28</v>
      </c>
      <c r="N5" t="s">
        <v>55</v>
      </c>
      <c r="O5" t="s">
        <v>27</v>
      </c>
      <c r="P5">
        <v>339039</v>
      </c>
      <c r="Q5">
        <v>14</v>
      </c>
      <c r="R5">
        <v>218444</v>
      </c>
      <c r="S5" t="s">
        <v>29</v>
      </c>
      <c r="T5" t="s">
        <v>53</v>
      </c>
      <c r="U5" t="s">
        <v>53</v>
      </c>
      <c r="W5" t="s">
        <v>56</v>
      </c>
      <c r="Y5" t="s">
        <v>29</v>
      </c>
      <c r="Z5" t="s">
        <v>27</v>
      </c>
    </row>
    <row r="6" spans="1:26" ht="38.25" x14ac:dyDescent="0.25">
      <c r="A6" s="2" t="s">
        <v>20</v>
      </c>
      <c r="B6" s="3" t="s">
        <v>21</v>
      </c>
      <c r="C6" s="4" t="str">
        <f>HYPERLINK("https://transparencia-area-fim.mpce.mp.br/#/consulta/processo/pastadigital/092024000020542","09.2024.00002054-2")</f>
        <v>09.2024.00002054-2</v>
      </c>
      <c r="D6" s="5">
        <v>45317</v>
      </c>
      <c r="E6" s="9" t="s">
        <v>36</v>
      </c>
      <c r="F6" s="3" t="s">
        <v>70</v>
      </c>
      <c r="G6" s="6" t="str">
        <f>HYPERLINK("http://www8.mpce.mp.br/Empenhos/150001/NE/2024NE000004.pdf","2024NE000004")</f>
        <v>2024NE000004</v>
      </c>
      <c r="H6" s="7">
        <v>900</v>
      </c>
      <c r="I6" s="8" t="s">
        <v>38</v>
      </c>
      <c r="J6" s="12" t="s">
        <v>39</v>
      </c>
      <c r="K6" t="s">
        <v>39</v>
      </c>
      <c r="L6" t="s">
        <v>51</v>
      </c>
      <c r="M6" t="s">
        <v>36</v>
      </c>
      <c r="N6" t="s">
        <v>59</v>
      </c>
      <c r="O6" t="s">
        <v>35</v>
      </c>
      <c r="P6">
        <v>339039</v>
      </c>
      <c r="Q6">
        <v>14</v>
      </c>
      <c r="R6">
        <v>218444</v>
      </c>
      <c r="S6" t="s">
        <v>37</v>
      </c>
      <c r="T6" t="s">
        <v>53</v>
      </c>
      <c r="U6" t="s">
        <v>53</v>
      </c>
      <c r="W6" t="s">
        <v>60</v>
      </c>
      <c r="Y6" t="s">
        <v>37</v>
      </c>
      <c r="Z6" t="s">
        <v>35</v>
      </c>
    </row>
    <row r="7" spans="1:26" ht="51" x14ac:dyDescent="0.25">
      <c r="A7" s="2" t="s">
        <v>45</v>
      </c>
      <c r="B7" s="3" t="s">
        <v>46</v>
      </c>
      <c r="C7" s="4" t="str">
        <f>HYPERLINK("https://transparencia-area-fim.mpce.mp.br/#/consulta/processo/pastadigital/092021000157125","09.2021.00015712-5")</f>
        <v>09.2021.00015712-5</v>
      </c>
      <c r="D7" s="5">
        <v>45316</v>
      </c>
      <c r="E7" s="9" t="str">
        <f>HYPERLINK("https://www8.mpce.mp.br/Empenhos/150001/Objeto/32-2021.pdf","SEGUROS DE VIDA DOS ESTAGIÁRIOS DESTE MP-CE, RELATIVOS AOS MESES DE JANEIRO A MARÇO/2024 POR ESTIMATIVA, CONFORME CONTRATO 32/2021 E PROJETO 27/2023")</f>
        <v>SEGUROS DE VIDA DOS ESTAGIÁRIOS DESTE MP-CE, RELATIVOS AOS MESES DE JANEIRO A MARÇO/2024 POR ESTIMATIVA, CONFORME CONTRATO 32/2021 E PROJETO 27/2023</v>
      </c>
      <c r="F7" s="3" t="s">
        <v>72</v>
      </c>
      <c r="G7" s="6" t="str">
        <f>HYPERLINK("http://www8.mpce.mp.br/Empenhos/150501/NE/2024NE000005.pdf","2024NE000005")</f>
        <v>2024NE000005</v>
      </c>
      <c r="H7" s="7">
        <v>200</v>
      </c>
      <c r="I7" s="8" t="s">
        <v>49</v>
      </c>
      <c r="J7" s="12" t="s">
        <v>50</v>
      </c>
      <c r="K7" t="s">
        <v>44</v>
      </c>
      <c r="L7" t="s">
        <v>51</v>
      </c>
      <c r="M7" t="s">
        <v>41</v>
      </c>
      <c r="N7" t="s">
        <v>61</v>
      </c>
      <c r="O7" t="s">
        <v>40</v>
      </c>
      <c r="P7">
        <v>339039</v>
      </c>
      <c r="Q7">
        <v>14</v>
      </c>
      <c r="R7">
        <v>218444</v>
      </c>
      <c r="S7" t="s">
        <v>42</v>
      </c>
      <c r="T7" t="s">
        <v>53</v>
      </c>
      <c r="U7" t="s">
        <v>53</v>
      </c>
      <c r="W7" t="s">
        <v>62</v>
      </c>
      <c r="Y7" t="s">
        <v>42</v>
      </c>
      <c r="Z7" t="s">
        <v>40</v>
      </c>
    </row>
    <row r="8" spans="1:26" ht="38.25" x14ac:dyDescent="0.25">
      <c r="A8" s="2" t="s">
        <v>20</v>
      </c>
      <c r="B8" s="3" t="s">
        <v>21</v>
      </c>
      <c r="C8" s="4" t="str">
        <f>HYPERLINK("https://transparencia-area-fim.mpce.mp.br/#/consulta/processo/pastadigital/092024000020531","09.2024.00002053-1")</f>
        <v>09.2024.00002053-1</v>
      </c>
      <c r="D8" s="5">
        <v>45317</v>
      </c>
      <c r="E8" s="9" t="s">
        <v>41</v>
      </c>
      <c r="F8" s="3" t="s">
        <v>70</v>
      </c>
      <c r="G8" s="6" t="str">
        <f>HYPERLINK("http://www8.mpce.mp.br/Empenhos/150001/NE/2024NE000005.pdf","2024NE000005")</f>
        <v>2024NE000005</v>
      </c>
      <c r="H8" s="7">
        <v>450</v>
      </c>
      <c r="I8" s="8" t="s">
        <v>43</v>
      </c>
      <c r="J8" s="12" t="s">
        <v>44</v>
      </c>
      <c r="K8" t="s">
        <v>50</v>
      </c>
      <c r="L8" t="s">
        <v>51</v>
      </c>
      <c r="M8" t="s">
        <v>48</v>
      </c>
      <c r="N8" t="s">
        <v>63</v>
      </c>
      <c r="O8" t="s">
        <v>47</v>
      </c>
      <c r="P8">
        <v>339039</v>
      </c>
      <c r="Q8">
        <v>14</v>
      </c>
      <c r="R8">
        <v>222686</v>
      </c>
      <c r="S8" t="s">
        <v>42</v>
      </c>
      <c r="T8" t="s">
        <v>64</v>
      </c>
      <c r="U8" t="s">
        <v>47</v>
      </c>
      <c r="W8" t="s">
        <v>65</v>
      </c>
      <c r="X8" t="s">
        <v>69</v>
      </c>
      <c r="Y8" t="s">
        <v>42</v>
      </c>
      <c r="Z8" t="s">
        <v>47</v>
      </c>
    </row>
    <row r="9" spans="1:26" ht="38.25" x14ac:dyDescent="0.25">
      <c r="A9" s="2" t="s">
        <v>20</v>
      </c>
      <c r="B9" s="3" t="s">
        <v>21</v>
      </c>
      <c r="C9" s="4" t="str">
        <f>HYPERLINK("https://transparencia-area-fim.mpce.mp.br/#/consulta/processo/pastadigital/092024000020510","09.2024.00002051-0")</f>
        <v>09.2024.00002051-0</v>
      </c>
      <c r="D9" s="5">
        <v>45316</v>
      </c>
      <c r="E9" s="9" t="s">
        <v>73</v>
      </c>
      <c r="F9" s="3" t="s">
        <v>70</v>
      </c>
      <c r="G9" s="6" t="str">
        <f>HYPERLINK("http://www8.mpce.mp.br/Empenhos/150001/NE/2024NE000006.pdf","2024NE000006")</f>
        <v>2024NE000006</v>
      </c>
      <c r="H9" s="7">
        <v>150</v>
      </c>
      <c r="I9" s="8" t="s">
        <v>74</v>
      </c>
      <c r="J9" s="12" t="s">
        <v>75</v>
      </c>
    </row>
    <row r="10" spans="1:26" ht="38.25" x14ac:dyDescent="0.25">
      <c r="A10" s="2" t="s">
        <v>20</v>
      </c>
      <c r="B10" s="3" t="s">
        <v>21</v>
      </c>
      <c r="C10" s="4" t="str">
        <f>HYPERLINK("https://transparencia-area-fim.mpce.mp.br/#/consulta/processo/pastadigital/092024000020509","09.2024.00002050-9")</f>
        <v>09.2024.00002050-9</v>
      </c>
      <c r="D10" s="5">
        <v>45317</v>
      </c>
      <c r="E10" s="9" t="s">
        <v>76</v>
      </c>
      <c r="F10" s="3" t="s">
        <v>70</v>
      </c>
      <c r="G10" s="6" t="str">
        <f>HYPERLINK("http://www8.mpce.mp.br/Empenhos/150001/NE/2024NE000007.pdf","2024NE000007")</f>
        <v>2024NE000007</v>
      </c>
      <c r="H10" s="7">
        <v>300</v>
      </c>
      <c r="I10" s="8" t="s">
        <v>77</v>
      </c>
      <c r="J10" s="12" t="s">
        <v>78</v>
      </c>
    </row>
    <row r="11" spans="1:26" ht="51" x14ac:dyDescent="0.25">
      <c r="A11" s="2" t="s">
        <v>20</v>
      </c>
      <c r="B11" s="3" t="s">
        <v>21</v>
      </c>
      <c r="C11" s="4" t="str">
        <f>HYPERLINK("http://www8.mpce.mp.br/Inexigibilidade/2903020176.pdf","29030/2017-6")</f>
        <v>29030/2017-6</v>
      </c>
      <c r="D11" s="5">
        <v>45316</v>
      </c>
      <c r="E11" s="9" t="str">
        <f>HYPERLINK("https://www8.mpce.mp.br/Empenhos/150001/Objeto/31-2018.pdf","SERVIÇOS DE SUSTENTAÇÃO SAJ-MP POR ESTIMATIVA, CONFORME CONTRATO 031/2018 - PROJETO 052/2023 - REFERENTE AOS MESES DE JANEIRO, FEVEREIRO E MARÇO DE 2024.")</f>
        <v>SERVIÇOS DE SUSTENTAÇÃO SAJ-MP POR ESTIMATIVA, CONFORME CONTRATO 031/2018 - PROJETO 052/2023 - REFERENTE AOS MESES DE JANEIRO, FEVEREIRO E MARÇO DE 2024.</v>
      </c>
      <c r="F11" s="3" t="s">
        <v>82</v>
      </c>
      <c r="G11" s="6" t="str">
        <f>HYPERLINK("http://www8.mpce.mp.br/Empenhos/150501/NE/2024NE000008.pdf","2024NE000008")</f>
        <v>2024NE000008</v>
      </c>
      <c r="H11" s="7">
        <v>220467.36</v>
      </c>
      <c r="I11" s="8" t="s">
        <v>83</v>
      </c>
      <c r="J11" s="12" t="s">
        <v>84</v>
      </c>
    </row>
    <row r="12" spans="1:26" ht="38.25" x14ac:dyDescent="0.25">
      <c r="A12" s="2" t="s">
        <v>20</v>
      </c>
      <c r="B12" s="3" t="s">
        <v>21</v>
      </c>
      <c r="C12" s="4" t="str">
        <f>HYPERLINK("https://transparencia-area-fim.mpce.mp.br/#/consulta/processo/pastadigital/092024000020475","09.2024.00002047-5")</f>
        <v>09.2024.00002047-5</v>
      </c>
      <c r="D12" s="5">
        <v>45316</v>
      </c>
      <c r="E12" s="9" t="s">
        <v>79</v>
      </c>
      <c r="F12" s="3" t="s">
        <v>70</v>
      </c>
      <c r="G12" s="6" t="str">
        <f>HYPERLINK("http://www8.mpce.mp.br/Empenhos/150001/NE/2024NE000008.pdf","2024NE000008")</f>
        <v>2024NE000008</v>
      </c>
      <c r="H12" s="7">
        <v>1800</v>
      </c>
      <c r="I12" s="8" t="s">
        <v>80</v>
      </c>
      <c r="J12" s="12" t="s">
        <v>81</v>
      </c>
    </row>
    <row r="13" spans="1:26" ht="51" x14ac:dyDescent="0.25">
      <c r="A13" s="2" t="s">
        <v>20</v>
      </c>
      <c r="B13" s="3" t="s">
        <v>21</v>
      </c>
      <c r="C13" s="4" t="str">
        <f>HYPERLINK("http://www8.mpce.mp.br/Inexigibilidade/2903020176.pdf","29030/2017-6")</f>
        <v>29030/2017-6</v>
      </c>
      <c r="D13" s="5">
        <v>45316</v>
      </c>
      <c r="E13" s="9" t="str">
        <f>HYPERLINK("https://www8.mpce.mp.br/Empenhos/150001/Objeto/31-2018.pdf","SERVIÇOS SOB DEMANDA SAJ-MP POR ESTIMATIVA, CONFORME CONTRATO 031/2018 - PROJETO 052/2023 - REFERENTE AOS MESES DE JANEIRO, FEVEREIRO E MARÇO DE 2024.")</f>
        <v>SERVIÇOS SOB DEMANDA SAJ-MP POR ESTIMATIVA, CONFORME CONTRATO 031/2018 - PROJETO 052/2023 - REFERENTE AOS MESES DE JANEIRO, FEVEREIRO E MARÇO DE 2024.</v>
      </c>
      <c r="F13" s="3" t="s">
        <v>82</v>
      </c>
      <c r="G13" s="6" t="str">
        <f>HYPERLINK("http://www8.mpce.mp.br/Empenhos/150501/NE/2024NE000009.pdf","2024NE000009")</f>
        <v>2024NE000009</v>
      </c>
      <c r="H13" s="7">
        <v>52217</v>
      </c>
      <c r="I13" s="8" t="s">
        <v>83</v>
      </c>
      <c r="J13" s="12" t="s">
        <v>84</v>
      </c>
    </row>
    <row r="14" spans="1:26" ht="38.25" x14ac:dyDescent="0.25">
      <c r="A14" s="2" t="s">
        <v>20</v>
      </c>
      <c r="B14" s="3" t="s">
        <v>21</v>
      </c>
      <c r="C14" s="4" t="str">
        <f>HYPERLINK("https://transparencia-area-fim.mpce.mp.br/#/consulta/processo/pastadigital/092024000020164","09.2024.00002016-4")</f>
        <v>09.2024.00002016-4</v>
      </c>
      <c r="D14" s="5">
        <v>45316</v>
      </c>
      <c r="E14" s="9" t="s">
        <v>85</v>
      </c>
      <c r="F14" s="3" t="s">
        <v>70</v>
      </c>
      <c r="G14" s="6" t="str">
        <f>HYPERLINK("http://www8.mpce.mp.br/Empenhos/150001/NE/2024NE000009.pdf","2024NE000009")</f>
        <v>2024NE000009</v>
      </c>
      <c r="H14" s="7">
        <v>300</v>
      </c>
      <c r="I14" s="8" t="s">
        <v>86</v>
      </c>
      <c r="J14" s="12" t="s">
        <v>87</v>
      </c>
    </row>
    <row r="15" spans="1:26" ht="51" x14ac:dyDescent="0.25">
      <c r="A15" s="2" t="s">
        <v>20</v>
      </c>
      <c r="B15" s="3" t="s">
        <v>21</v>
      </c>
      <c r="C15" s="4" t="str">
        <f>HYPERLINK("http://www8.mpce.mp.br/Inexigibilidade/2903020176.pdf","29030/2017-6")</f>
        <v>29030/2017-6</v>
      </c>
      <c r="D15" s="5">
        <v>45316</v>
      </c>
      <c r="E15" s="9" t="str">
        <f>HYPERLINK("https://www8.mpce.mp.br/Empenhos/150001/Objeto/31-2018.pdf","SERVIÇOS DE SUPORTE NÍVEL 1 DO SISTEMA SAJ-MP POR ESTIMATIVA, CONFORME CONTRATO 031/2018 - PROJETO 052/2023 - REFERENTE AOS MESES DE JANEIRO, FEVEREIRO E MARÇO DE 2024.")</f>
        <v>SERVIÇOS DE SUPORTE NÍVEL 1 DO SISTEMA SAJ-MP POR ESTIMATIVA, CONFORME CONTRATO 031/2018 - PROJETO 052/2023 - REFERENTE AOS MESES DE JANEIRO, FEVEREIRO E MARÇO DE 2024.</v>
      </c>
      <c r="F15" s="3" t="s">
        <v>82</v>
      </c>
      <c r="G15" s="6" t="str">
        <f>HYPERLINK("http://www8.mpce.mp.br/Empenhos/150501/NE/2024NE000010.pdf","2024NE000010")</f>
        <v>2024NE000010</v>
      </c>
      <c r="H15" s="7">
        <v>563056.98</v>
      </c>
      <c r="I15" s="8" t="s">
        <v>83</v>
      </c>
      <c r="J15" s="12" t="s">
        <v>84</v>
      </c>
    </row>
    <row r="16" spans="1:26" ht="38.25" x14ac:dyDescent="0.25">
      <c r="A16" s="2" t="s">
        <v>20</v>
      </c>
      <c r="B16" s="3" t="s">
        <v>21</v>
      </c>
      <c r="C16" s="4" t="str">
        <f>HYPERLINK("https://transparencia-area-fim.mpce.mp.br/#/consulta/processo/pastadigital/092024000019924","09.2024.00001992-4")</f>
        <v>09.2024.00001992-4</v>
      </c>
      <c r="D16" s="5">
        <v>45316</v>
      </c>
      <c r="E16" s="9" t="s">
        <v>88</v>
      </c>
      <c r="F16" s="3" t="s">
        <v>70</v>
      </c>
      <c r="G16" s="6" t="str">
        <f>HYPERLINK("http://www8.mpce.mp.br/Empenhos/150001/NE/2024NE000010.pdf","2024NE000010")</f>
        <v>2024NE000010</v>
      </c>
      <c r="H16" s="7">
        <v>600</v>
      </c>
      <c r="I16" s="8" t="s">
        <v>89</v>
      </c>
      <c r="J16" s="12" t="s">
        <v>90</v>
      </c>
    </row>
    <row r="17" spans="1:10" ht="51" x14ac:dyDescent="0.25">
      <c r="A17" s="2" t="s">
        <v>20</v>
      </c>
      <c r="B17" s="3" t="s">
        <v>21</v>
      </c>
      <c r="C17" s="4" t="str">
        <f>HYPERLINK("http://www8.mpce.mp.br/Inexigibilidade/2903020176.pdf","29030/2017-6")</f>
        <v>29030/2017-6</v>
      </c>
      <c r="D17" s="5">
        <v>45316</v>
      </c>
      <c r="E17" s="9" t="str">
        <f>HYPERLINK("https://www8.mpce.mp.br/Empenhos/150001/Objeto/31-2018.pdf","SERVIÇOS DE GARANTIA DE EVOLUÇÃO TECNOLÓGICA E FUNCIONAL SAJ-MP POR ESTIMATIVA, CONFORME CONTRATO 031/2018 - PROJETO 052/2023 - REFERENTE AOS MESES DE JANEIRO, FEVEREIRO E MARÇO DE 2024")</f>
        <v>SERVIÇOS DE GARANTIA DE EVOLUÇÃO TECNOLÓGICA E FUNCIONAL SAJ-MP POR ESTIMATIVA, CONFORME CONTRATO 031/2018 - PROJETO 052/2023 - REFERENTE AOS MESES DE JANEIRO, FEVEREIRO E MARÇO DE 2024</v>
      </c>
      <c r="F17" s="3" t="s">
        <v>82</v>
      </c>
      <c r="G17" s="6" t="str">
        <f>HYPERLINK("http://www8.mpce.mp.br/Empenhos/150501/NE/2024NE000011.pdf","2024NE000011")</f>
        <v>2024NE000011</v>
      </c>
      <c r="H17" s="7">
        <v>409439.37</v>
      </c>
      <c r="I17" s="8" t="s">
        <v>83</v>
      </c>
      <c r="J17" s="12" t="s">
        <v>84</v>
      </c>
    </row>
    <row r="18" spans="1:10" ht="51" x14ac:dyDescent="0.25">
      <c r="A18" s="2" t="s">
        <v>20</v>
      </c>
      <c r="B18" s="3" t="s">
        <v>91</v>
      </c>
      <c r="C18" s="4" t="str">
        <f>HYPERLINK("https://transparencia-area-fim.mpce.mp.br/#/consulta/processo/pastadigital/092022000255950","09.2022.00025595-0")</f>
        <v>09.2022.00025595-0</v>
      </c>
      <c r="D18" s="5">
        <v>45317</v>
      </c>
      <c r="E18" s="9" t="str">
        <f>HYPERLINK("https://www8.mpce.mp.br/Empenhos/150001/Objeto/27-2022.pdf","ETAPAS 3 E 4 DE ELABORAÇÃO DE PROJETOS EXPOGRÁFICOSV VOLTADO AO MEMORIAL DO MPCE, ALÉM DE ASSESSORIA P/ SITE, CONFORME CONTRATO 27/2022, POR ESTIMATIVA.")</f>
        <v>ETAPAS 3 E 4 DE ELABORAÇÃO DE PROJETOS EXPOGRÁFICOSV VOLTADO AO MEMORIAL DO MPCE, ALÉM DE ASSESSORIA P/ SITE, CONFORME CONTRATO 27/2022, POR ESTIMATIVA.</v>
      </c>
      <c r="F18" s="3" t="s">
        <v>92</v>
      </c>
      <c r="G18" s="6" t="str">
        <f>HYPERLINK("http://www8.mpce.mp.br/Empenhos/150001/NE/2024NE000011.pdf","2024NE000011")</f>
        <v>2024NE000011</v>
      </c>
      <c r="H18" s="7">
        <v>16000</v>
      </c>
      <c r="I18" s="8" t="s">
        <v>93</v>
      </c>
      <c r="J18" s="12" t="s">
        <v>94</v>
      </c>
    </row>
    <row r="19" spans="1:10" ht="63.75" x14ac:dyDescent="0.25">
      <c r="A19" s="2" t="s">
        <v>20</v>
      </c>
      <c r="B19" s="3" t="s">
        <v>21</v>
      </c>
      <c r="C19" s="4" t="str">
        <f>HYPERLINK("http://www8.mpce.mp.br/Inexigibilidade/2903020176.pdf","29030/2017-6")</f>
        <v>29030/2017-6</v>
      </c>
      <c r="D19" s="5">
        <v>45316</v>
      </c>
      <c r="E19" s="9" t="str">
        <f>HYPERLINK("https://www8.mpce.mp.br/Empenhos/150001/Objeto/31-2018.pdf","SERVIÇOS DE ACOMPANHAMENTO DA OPERAÇÃO E HOSPEDAGEM EM NUVEM SAJ-MP, POR ESTIMATIVA, CONFORME CONTRATO 031/2018 - PROJETO 052/2023 - REFERENTE AOS MESES DE JANEIRO, FEVEREIRO E MARÇO DE 2024")</f>
        <v>SERVIÇOS DE ACOMPANHAMENTO DA OPERAÇÃO E HOSPEDAGEM EM NUVEM SAJ-MP, POR ESTIMATIVA, CONFORME CONTRATO 031/2018 - PROJETO 052/2023 - REFERENTE AOS MESES DE JANEIRO, FEVEREIRO E MARÇO DE 2024</v>
      </c>
      <c r="F19" s="3" t="s">
        <v>82</v>
      </c>
      <c r="G19" s="6" t="str">
        <f>HYPERLINK("http://www8.mpce.mp.br/Empenhos/150501/NE/2024NE000012.pdf","2024NE000012")</f>
        <v>2024NE000012</v>
      </c>
      <c r="H19" s="7">
        <v>493161.21</v>
      </c>
      <c r="I19" s="8" t="s">
        <v>83</v>
      </c>
      <c r="J19" s="12" t="s">
        <v>84</v>
      </c>
    </row>
    <row r="20" spans="1:10" ht="38.25" x14ac:dyDescent="0.25">
      <c r="A20" s="2" t="s">
        <v>20</v>
      </c>
      <c r="B20" s="3" t="s">
        <v>21</v>
      </c>
      <c r="C20" s="4" t="str">
        <f>HYPERLINK("https://transparencia-area-fim.mpce.mp.br/#/consulta/processo/pastadigital/092024000019902","09.2024.00001990-2")</f>
        <v>09.2024.00001990-2</v>
      </c>
      <c r="D20" s="5">
        <v>45317</v>
      </c>
      <c r="E20" s="9" t="s">
        <v>95</v>
      </c>
      <c r="F20" s="3" t="s">
        <v>70</v>
      </c>
      <c r="G20" s="6" t="str">
        <f>HYPERLINK("http://www8.mpce.mp.br/Empenhos/150001/NE/2024NE000012.pdf","2024NE000012")</f>
        <v>2024NE000012</v>
      </c>
      <c r="H20" s="7">
        <v>150</v>
      </c>
      <c r="I20" s="8" t="s">
        <v>96</v>
      </c>
      <c r="J20" s="12" t="s">
        <v>97</v>
      </c>
    </row>
    <row r="21" spans="1:10" ht="38.25" x14ac:dyDescent="0.25">
      <c r="A21" s="2" t="s">
        <v>45</v>
      </c>
      <c r="B21" s="3" t="s">
        <v>98</v>
      </c>
      <c r="C21" s="4" t="str">
        <f>HYPERLINK("https://transparencia-area-fim.mpce.mp.br/#/consulta/processo/pastadigital/092020000071437","09.2020.00007143-7")</f>
        <v>09.2020.00007143-7</v>
      </c>
      <c r="D21" s="5">
        <v>45317</v>
      </c>
      <c r="E21" s="9" t="str">
        <f>HYPERLINK("https://www8.mpce.mp.br/Empenhos/150001/Objeto/23-2020.pdf","SERVIÇOS DE CORREIOS , POR ESTIMATIVA, RELATIVOS AOS MESES DE JANEIRO A MARÇO/2024, CONFORME CONTRATO 023/202")</f>
        <v>SERVIÇOS DE CORREIOS , POR ESTIMATIVA, RELATIVOS AOS MESES DE JANEIRO A MARÇO/2024, CONFORME CONTRATO 023/202</v>
      </c>
      <c r="F21" s="3" t="s">
        <v>99</v>
      </c>
      <c r="G21" s="6" t="str">
        <f>HYPERLINK("http://www8.mpce.mp.br/Empenhos/150001/NE/2024NE000013.pdf","2024NE000013")</f>
        <v>2024NE000013</v>
      </c>
      <c r="H21" s="7">
        <v>60000</v>
      </c>
      <c r="I21" s="8" t="s">
        <v>100</v>
      </c>
      <c r="J21" s="12" t="s">
        <v>101</v>
      </c>
    </row>
    <row r="22" spans="1:10" ht="38.25" x14ac:dyDescent="0.25">
      <c r="A22" s="2" t="s">
        <v>20</v>
      </c>
      <c r="B22" s="3" t="s">
        <v>21</v>
      </c>
      <c r="C22" s="4" t="str">
        <f>HYPERLINK("https://transparencia-area-fim.mpce.mp.br/#/consulta/processo/pastadigital/092024000019746","09.2024.00001974-6")</f>
        <v>09.2024.00001974-6</v>
      </c>
      <c r="D22" s="5">
        <v>45317</v>
      </c>
      <c r="E22" s="9" t="s">
        <v>102</v>
      </c>
      <c r="F22" s="3" t="s">
        <v>70</v>
      </c>
      <c r="G22" s="6" t="str">
        <f>HYPERLINK("http://www8.mpce.mp.br/Empenhos/150001/NE/2024NE000015.pdf","2024NE000015")</f>
        <v>2024NE000015</v>
      </c>
      <c r="H22" s="7">
        <v>117.84</v>
      </c>
      <c r="I22" s="8" t="s">
        <v>103</v>
      </c>
      <c r="J22" s="12" t="s">
        <v>104</v>
      </c>
    </row>
    <row r="23" spans="1:10" ht="38.25" x14ac:dyDescent="0.25">
      <c r="A23" s="2" t="s">
        <v>20</v>
      </c>
      <c r="B23" s="3" t="s">
        <v>21</v>
      </c>
      <c r="C23" s="4" t="str">
        <f>HYPERLINK("https://transparencia-area-fim.mpce.mp.br/#/consulta/processo/pastadigital/092024000019790","09.2024.00001979-0")</f>
        <v>09.2024.00001979-0</v>
      </c>
      <c r="D23" s="5">
        <v>45317</v>
      </c>
      <c r="E23" s="9" t="s">
        <v>105</v>
      </c>
      <c r="F23" s="3" t="s">
        <v>70</v>
      </c>
      <c r="G23" s="6" t="str">
        <f>HYPERLINK("http://www8.mpce.mp.br/Empenhos/150001/NE/2024NE000016.pdf","2024NE000016")</f>
        <v>2024NE000016</v>
      </c>
      <c r="H23" s="7">
        <v>1200</v>
      </c>
      <c r="I23" s="8" t="s">
        <v>106</v>
      </c>
      <c r="J23" s="12" t="s">
        <v>107</v>
      </c>
    </row>
    <row r="24" spans="1:10" ht="38.25" x14ac:dyDescent="0.25">
      <c r="A24" s="2" t="s">
        <v>20</v>
      </c>
      <c r="B24" s="3" t="s">
        <v>21</v>
      </c>
      <c r="C24" s="4" t="str">
        <f>HYPERLINK("https://transparencia-area-fim.mpce.mp.br/#/consulta/processo/pastadigital/092024000020575","09.2024.00002057-5")</f>
        <v>09.2024.00002057-5</v>
      </c>
      <c r="D24" s="5">
        <v>45317</v>
      </c>
      <c r="E24" s="9" t="s">
        <v>108</v>
      </c>
      <c r="F24" s="3" t="s">
        <v>70</v>
      </c>
      <c r="G24" s="6" t="str">
        <f>HYPERLINK("http://www8.mpce.mp.br/Empenhos/150001/NE/2024NE000017.pdf","2024NE000017")</f>
        <v>2024NE000017</v>
      </c>
      <c r="H24" s="7">
        <v>3000</v>
      </c>
      <c r="I24" s="8" t="s">
        <v>109</v>
      </c>
      <c r="J24" s="12" t="s">
        <v>110</v>
      </c>
    </row>
    <row r="25" spans="1:10" ht="38.25" x14ac:dyDescent="0.25">
      <c r="A25" s="2" t="s">
        <v>20</v>
      </c>
      <c r="B25" s="3" t="s">
        <v>21</v>
      </c>
      <c r="C25" s="4" t="str">
        <f>HYPERLINK("https://transparencia-area-fim.mpce.mp.br/#/consulta/processo/pastadigital/092024000020597","09.2024.00002059-7")</f>
        <v>09.2024.00002059-7</v>
      </c>
      <c r="D25" s="5">
        <v>45316</v>
      </c>
      <c r="E25" s="9" t="s">
        <v>111</v>
      </c>
      <c r="F25" s="3" t="s">
        <v>70</v>
      </c>
      <c r="G25" s="6" t="str">
        <f>HYPERLINK("http://www8.mpce.mp.br/Empenhos/150001/NE/2024NE000018.pdf","2024NE000018")</f>
        <v>2024NE000018</v>
      </c>
      <c r="H25" s="7">
        <v>450</v>
      </c>
      <c r="I25" s="8" t="s">
        <v>112</v>
      </c>
      <c r="J25" s="12" t="s">
        <v>113</v>
      </c>
    </row>
    <row r="26" spans="1:10" ht="51" x14ac:dyDescent="0.25">
      <c r="A26" s="2" t="s">
        <v>20</v>
      </c>
      <c r="B26" s="3" t="s">
        <v>21</v>
      </c>
      <c r="C26" s="4" t="str">
        <f>HYPERLINK("https://transparencia-area-fim.mpce.mp.br/#/consulta/processo/pastadigital/092024000020609","09.2024.00002060-9")</f>
        <v>09.2024.00002060-9</v>
      </c>
      <c r="D26" s="5">
        <v>45316</v>
      </c>
      <c r="E26" s="9" t="s">
        <v>114</v>
      </c>
      <c r="F26" s="3" t="s">
        <v>70</v>
      </c>
      <c r="G26" s="6" t="str">
        <f>HYPERLINK("http://www8.mpce.mp.br/Empenhos/150001/NE/2024NE000019.pdf","2024NE000019")</f>
        <v>2024NE000019</v>
      </c>
      <c r="H26" s="7">
        <v>135000</v>
      </c>
      <c r="I26" s="8" t="s">
        <v>115</v>
      </c>
      <c r="J26" s="12" t="s">
        <v>116</v>
      </c>
    </row>
    <row r="27" spans="1:10" ht="38.25" x14ac:dyDescent="0.25">
      <c r="A27" s="2" t="s">
        <v>20</v>
      </c>
      <c r="B27" s="3" t="s">
        <v>21</v>
      </c>
      <c r="C27" s="4" t="str">
        <f>HYPERLINK("https://transparencia-area-fim.mpce.mp.br/#/consulta/processo/pastadigital/092024000019880","09.2024.00001988-0")</f>
        <v>09.2024.00001988-0</v>
      </c>
      <c r="D27" s="5">
        <v>45316</v>
      </c>
      <c r="E27" s="9" t="s">
        <v>117</v>
      </c>
      <c r="F27" s="3" t="s">
        <v>70</v>
      </c>
      <c r="G27" s="6" t="str">
        <f>HYPERLINK("http://www8.mpce.mp.br/Empenhos/150001/NE/2024NE000020.pdf","2024NE000020")</f>
        <v>2024NE000020</v>
      </c>
      <c r="H27" s="7">
        <v>450</v>
      </c>
      <c r="I27" s="8" t="s">
        <v>118</v>
      </c>
      <c r="J27" s="12" t="s">
        <v>119</v>
      </c>
    </row>
    <row r="28" spans="1:10" ht="63.75" x14ac:dyDescent="0.25">
      <c r="A28" s="2" t="s">
        <v>20</v>
      </c>
      <c r="B28" s="3" t="s">
        <v>21</v>
      </c>
      <c r="C28" s="4" t="str">
        <f>HYPERLINK("https://transparencia-area-fim.mpce.mp.br/#/consulta/processo/pastadigital/092023000287946","09.2023.00028794-6")</f>
        <v>09.2023.00028794-6</v>
      </c>
      <c r="D28" s="5">
        <v>45320</v>
      </c>
      <c r="E28" s="9" t="str">
        <f>HYPERLINK("https://www8.mpce.mp.br/Empenhos/150001/Objeto/59-2023.pdf","LICENÇAS DE SOFTWARE, CICLO DE AVALIAÇÃO(PARCELA UNICA) E SKILLING DE RECURSOS DE APRENDIZAGEM(PARCELA UNICA), CONFORME CONTRATO 059/2023, POR ESTIMATIVA PARA OS MESES DE JANEIRO A MARÇO/2024. PROJETO 65/2023.")</f>
        <v>LICENÇAS DE SOFTWARE, CICLO DE AVALIAÇÃO(PARCELA UNICA) E SKILLING DE RECURSOS DE APRENDIZAGEM(PARCELA UNICA), CONFORME CONTRATO 059/2023, POR ESTIMATIVA PARA OS MESES DE JANEIRO A MARÇO/2024. PROJETO 65/2023.</v>
      </c>
      <c r="F28" s="3" t="s">
        <v>120</v>
      </c>
      <c r="G28" s="6" t="str">
        <f>HYPERLINK("http://www8.mpce.mp.br/Empenhos/150501/NE/2024NE000021.pdf","2024NE000021")</f>
        <v>2024NE000021</v>
      </c>
      <c r="H28" s="7">
        <v>38594.5</v>
      </c>
      <c r="I28" s="8" t="s">
        <v>121</v>
      </c>
      <c r="J28" s="12" t="s">
        <v>122</v>
      </c>
    </row>
    <row r="29" spans="1:10" ht="63.75" x14ac:dyDescent="0.25">
      <c r="A29" s="2" t="s">
        <v>20</v>
      </c>
      <c r="B29" s="3" t="s">
        <v>123</v>
      </c>
      <c r="C29" s="4" t="str">
        <f>HYPERLINK("https://transparencia-area-fim.mpce.mp.br/#/consulta/processo/pastadigital/092023000079630","09.2023.00007963-0")</f>
        <v>09.2023.00007963-0</v>
      </c>
      <c r="D29" s="5">
        <v>45322</v>
      </c>
      <c r="E29" s="9" t="str">
        <f>HYPERLINK("https://www8.mpce.mp.br/Empenhos/150001/Objeto/15-2023.pdf","ASSINATURAS PARA ACESSO AS BASES DE CONHENCIMENTOS, LICENÇAS DE SOFTWARES CONFORME CONTRATO 15/2023, PROJETO 28/2023 ,RELATIVOS AOS MESES  DE JANEIRO, FEVEREIRO E MARÇO DE 2024.POR ESTIMATIVA ")</f>
        <v xml:space="preserve">ASSINATURAS PARA ACESSO AS BASES DE CONHENCIMENTOS, LICENÇAS DE SOFTWARES CONFORME CONTRATO 15/2023, PROJETO 28/2023 ,RELATIVOS AOS MESES  DE JANEIRO, FEVEREIRO E MARÇO DE 2024.POR ESTIMATIVA </v>
      </c>
      <c r="F29" s="3" t="s">
        <v>120</v>
      </c>
      <c r="G29" s="6" t="str">
        <f>HYPERLINK("http://www8.mpce.mp.br/Empenhos/150501/NE/2024NE000026.pdf","2024NE000026")</f>
        <v>2024NE000026</v>
      </c>
      <c r="H29" s="7">
        <v>186951</v>
      </c>
      <c r="I29" s="8" t="s">
        <v>124</v>
      </c>
      <c r="J29" s="12" t="s">
        <v>125</v>
      </c>
    </row>
    <row r="30" spans="1:10" ht="51" x14ac:dyDescent="0.25">
      <c r="A30" s="2" t="s">
        <v>45</v>
      </c>
      <c r="B30" s="3" t="s">
        <v>126</v>
      </c>
      <c r="C30" s="4" t="str">
        <f>HYPERLINK("http://www8.mpce.mp.br/Dispensa/CL0012003.pdf","CL001/2003")</f>
        <v>CL001/2003</v>
      </c>
      <c r="D30" s="5">
        <v>45323</v>
      </c>
      <c r="E30" s="9" t="str">
        <f>HYPERLINK("https://www8.mpce.mp.br/Empenhos/150001/Objeto/01-2003.pdf","LOCAÇÃO DE IMÓVEL ONDE FUNCIONA O ARQUIVO GERAL DESTE MP-CE , POR ESTIMATIVA REFERENTE AOS MESES DE JANEIRO E FEVEREIRO DE 2024.")</f>
        <v>LOCAÇÃO DE IMÓVEL ONDE FUNCIONA O ARQUIVO GERAL DESTE MP-CE , POR ESTIMATIVA REFERENTE AOS MESES DE JANEIRO E FEVEREIRO DE 2024.</v>
      </c>
      <c r="F30" s="3" t="s">
        <v>127</v>
      </c>
      <c r="G30" s="6" t="str">
        <f>HYPERLINK("http://www8.mpce.mp.br/Empenhos/150501/NE/2024NE000032.pdf","2024NE000032")</f>
        <v>2024NE000032</v>
      </c>
      <c r="H30" s="7">
        <v>2100</v>
      </c>
      <c r="I30" s="8" t="s">
        <v>128</v>
      </c>
      <c r="J30" s="12" t="s">
        <v>129</v>
      </c>
    </row>
    <row r="31" spans="1:10" ht="38.25" x14ac:dyDescent="0.25">
      <c r="A31" s="2" t="s">
        <v>45</v>
      </c>
      <c r="B31" s="3" t="s">
        <v>130</v>
      </c>
      <c r="C31" s="4" t="str">
        <f>HYPERLINK("http://www8.mpce.mp.br/Dispensa/1721020046.pdf","17210/2004-6")</f>
        <v>17210/2004-6</v>
      </c>
      <c r="D31" s="5">
        <v>45323</v>
      </c>
      <c r="E31" s="9" t="str">
        <f>HYPERLINK("https://www8.mpce.mp.br/Empenhos/150001/Objeto/02-2004.pdf","LOCAÇÃO DE IMÓVEL A RUA BARÃO DE ARATANHA,100-CENTRO RELATIVOS AOS MESES DE JANEIRO A MARÇO DE 2024, POR ESTIMATIVA.CONTRATO 02/2004.")</f>
        <v>LOCAÇÃO DE IMÓVEL A RUA BARÃO DE ARATANHA,100-CENTRO RELATIVOS AOS MESES DE JANEIRO A MARÇO DE 2024, POR ESTIMATIVA.CONTRATO 02/2004.</v>
      </c>
      <c r="F31" s="3" t="s">
        <v>127</v>
      </c>
      <c r="G31" s="6" t="str">
        <f>HYPERLINK("http://www8.mpce.mp.br/Empenhos/150501/NE/2024NE000033.pdf","2024NE000033")</f>
        <v>2024NE000033</v>
      </c>
      <c r="H31" s="7">
        <v>107369.1</v>
      </c>
      <c r="I31" s="8" t="s">
        <v>131</v>
      </c>
      <c r="J31" s="12" t="s">
        <v>132</v>
      </c>
    </row>
    <row r="32" spans="1:10" ht="51" x14ac:dyDescent="0.25">
      <c r="A32" s="2" t="s">
        <v>45</v>
      </c>
      <c r="B32" s="3" t="s">
        <v>133</v>
      </c>
      <c r="C32" s="4" t="str">
        <f>HYPERLINK("https://transparencia-area-fim.mpce.mp.br/#/consulta/processo/pastadigital/092022000197876","09.2022.00019787-6")</f>
        <v>09.2022.00019787-6</v>
      </c>
      <c r="D32" s="5">
        <v>45323</v>
      </c>
      <c r="E32" s="9" t="str">
        <f>HYPERLINK("https://www8.mpce.mp.br/Empenhos/150001/Objeto/02-2023.pdf","LOCAÇÃO DE IMÓVEL, POR ESTIMATIVA REFERENTE AOS MES DE JANEIRO /2024 DO IMÓVEL ONDE FUNCIONA O NUCLEO DE MEDIAÇÃO COMUNITÁRIA, AV OSCAR ARARIPE 1030-BOM JARDIM, CONTRATO 02/2023.")</f>
        <v>LOCAÇÃO DE IMÓVEL, POR ESTIMATIVA REFERENTE AOS MES DE JANEIRO /2024 DO IMÓVEL ONDE FUNCIONA O NUCLEO DE MEDIAÇÃO COMUNITÁRIA, AV OSCAR ARARIPE 1030-BOM JARDIM, CONTRATO 02/2023.</v>
      </c>
      <c r="F32" s="3" t="s">
        <v>127</v>
      </c>
      <c r="G32" s="6" t="str">
        <f>HYPERLINK("http://www8.mpce.mp.br/Empenhos/150501/NE/2024NE000034.pdf","2024NE000034")</f>
        <v>2024NE000034</v>
      </c>
      <c r="H32" s="7">
        <v>5600</v>
      </c>
      <c r="I32" s="8" t="s">
        <v>134</v>
      </c>
      <c r="J32" s="12" t="s">
        <v>135</v>
      </c>
    </row>
    <row r="33" spans="1:10" ht="38.25" x14ac:dyDescent="0.25">
      <c r="A33" s="2" t="s">
        <v>45</v>
      </c>
      <c r="B33" s="3" t="s">
        <v>136</v>
      </c>
      <c r="C33" s="4" t="str">
        <f>HYPERLINK("http://www8.mpce.mp.br/Dispensa/48729162.pdf","48729/16-2")</f>
        <v>48729/16-2</v>
      </c>
      <c r="D33" s="5">
        <v>45323</v>
      </c>
      <c r="E33" s="9" t="str">
        <f>HYPERLINK("https://www8.mpce.mp.br/Empenhos/150001/Objeto/06-2017.pdf","LOCAÇÃO DE IMÓVEL DOS MES DE JANEIRO  DE 2024, POR ESTIMATIVA, CONFORME CONTRATO 06/2017, PROMOTORIAS CÍVEIS.")</f>
        <v>LOCAÇÃO DE IMÓVEL DOS MES DE JANEIRO  DE 2024, POR ESTIMATIVA, CONFORME CONTRATO 06/2017, PROMOTORIAS CÍVEIS.</v>
      </c>
      <c r="F33" s="3" t="s">
        <v>127</v>
      </c>
      <c r="G33" s="6" t="str">
        <f>HYPERLINK("http://www8.mpce.mp.br/Empenhos/150501/NE/2024NE000036.pdf","2024NE000036")</f>
        <v>2024NE000036</v>
      </c>
      <c r="H33" s="7">
        <v>114746.91</v>
      </c>
      <c r="I33" s="8" t="s">
        <v>137</v>
      </c>
      <c r="J33" s="12" t="s">
        <v>138</v>
      </c>
    </row>
    <row r="34" spans="1:10" ht="38.25" x14ac:dyDescent="0.25">
      <c r="A34" s="2" t="s">
        <v>45</v>
      </c>
      <c r="B34" s="3" t="s">
        <v>139</v>
      </c>
      <c r="C34" s="4" t="str">
        <f>HYPERLINK("https://transparencia-area-fim.mpce.mp.br/#/consulta/processo/pastadigital/092022000343751","09.2022.00034375-1")</f>
        <v>09.2022.00034375-1</v>
      </c>
      <c r="D34" s="5">
        <v>45323</v>
      </c>
      <c r="E34" s="9" t="str">
        <f>HYPERLINK("https://www8.mpce.mp.br/Empenhos/150001/Objeto/08-2023.pdf","LOCAÇÃO DE IMÓVEIS ONDE FUNCIONAM AS PROMOTORIAS DE JUSTIÇA DE QUIXERAMOBIM, CONTRATO 008/2023/PGJ, REFERENTE AOS MESES DE JAN/2024 - POR ESTIMATIVA")</f>
        <v>LOCAÇÃO DE IMÓVEIS ONDE FUNCIONAM AS PROMOTORIAS DE JUSTIÇA DE QUIXERAMOBIM, CONTRATO 008/2023/PGJ, REFERENTE AOS MESES DE JAN/2024 - POR ESTIMATIVA</v>
      </c>
      <c r="F34" s="3" t="s">
        <v>127</v>
      </c>
      <c r="G34" s="6" t="str">
        <f>HYPERLINK("http://www8.mpce.mp.br/Empenhos/150501/NE/2024NE000037.pdf","2024NE000037")</f>
        <v>2024NE000037</v>
      </c>
      <c r="H34" s="7">
        <v>14180</v>
      </c>
      <c r="I34" s="8" t="s">
        <v>140</v>
      </c>
      <c r="J34" s="12" t="s">
        <v>141</v>
      </c>
    </row>
    <row r="35" spans="1:10" ht="38.25" x14ac:dyDescent="0.25">
      <c r="A35" s="2" t="s">
        <v>45</v>
      </c>
      <c r="B35" s="3" t="s">
        <v>142</v>
      </c>
      <c r="C35" s="4" t="str">
        <f>HYPERLINK("https://transparencia-area-fim.mpce.mp.br/#/consulta/processo/pastadigital/092021000244449","09.2021.00024444-9")</f>
        <v>09.2021.00024444-9</v>
      </c>
      <c r="D35" s="5">
        <v>45323</v>
      </c>
      <c r="E35" s="9" t="str">
        <f>HYPERLINK("https://www8.mpce.mp.br/Empenhos/150001/Objeto/12-2022.pdf","LOCAÇÃO DE IMÓVEIS ONDE FUNCIONAM AS PROMOTORIAS DE JUSTIÇA DE RUSSAS, CONTRATO 012/2022/PGJ, REFERENTE AOS MES DE JAN/2024 - POR ESTIMATIVA")</f>
        <v>LOCAÇÃO DE IMÓVEIS ONDE FUNCIONAM AS PROMOTORIAS DE JUSTIÇA DE RUSSAS, CONTRATO 012/2022/PGJ, REFERENTE AOS MES DE JAN/2024 - POR ESTIMATIVA</v>
      </c>
      <c r="F35" s="3" t="s">
        <v>127</v>
      </c>
      <c r="G35" s="6" t="str">
        <f>HYPERLINK("http://www8.mpce.mp.br/Empenhos/150501/NE/2024NE000038.pdf","2024NE000038")</f>
        <v>2024NE000038</v>
      </c>
      <c r="H35" s="7">
        <v>20900</v>
      </c>
      <c r="I35" s="8" t="s">
        <v>140</v>
      </c>
      <c r="J35" s="12" t="s">
        <v>141</v>
      </c>
    </row>
    <row r="36" spans="1:10" ht="38.25" x14ac:dyDescent="0.25">
      <c r="A36" s="2" t="s">
        <v>45</v>
      </c>
      <c r="B36" s="3" t="s">
        <v>142</v>
      </c>
      <c r="C36" s="4" t="str">
        <f>HYPERLINK("https://transparencia-area-fim.mpce.mp.br/#/consulta/processo/pastadigital/092022000081432","09.2022.00008143-2")</f>
        <v>09.2022.00008143-2</v>
      </c>
      <c r="D36" s="5">
        <v>45323</v>
      </c>
      <c r="E36" s="9" t="str">
        <f>HYPERLINK("https://www8.mpce.mp.br/Empenhos/150001/Objeto/16-2022.pdf","LOCAÇÃO DE IMÓVEIS ONDE FUNCIONAM AS PROMOTORIAS DE JUSTIÇA DE BARBALHA, CONTRATO 016/2022/PGJ, REFERENTE AOS MES JAN /2024.")</f>
        <v>LOCAÇÃO DE IMÓVEIS ONDE FUNCIONAM AS PROMOTORIAS DE JUSTIÇA DE BARBALHA, CONTRATO 016/2022/PGJ, REFERENTE AOS MES JAN /2024.</v>
      </c>
      <c r="F36" s="3" t="s">
        <v>127</v>
      </c>
      <c r="G36" s="6" t="str">
        <f>HYPERLINK("http://www8.mpce.mp.br/Empenhos/150501/NE/2024NE000039.pdf","2024NE000039")</f>
        <v>2024NE000039</v>
      </c>
      <c r="H36" s="7">
        <v>16434.259999999998</v>
      </c>
      <c r="I36" s="8" t="s">
        <v>143</v>
      </c>
      <c r="J36" s="12" t="s">
        <v>144</v>
      </c>
    </row>
    <row r="37" spans="1:10" ht="38.25" x14ac:dyDescent="0.25">
      <c r="A37" s="2" t="s">
        <v>45</v>
      </c>
      <c r="B37" s="3" t="s">
        <v>142</v>
      </c>
      <c r="C37" s="4" t="str">
        <f>HYPERLINK("https://transparencia-area-fim.mpce.mp.br/#/consulta/processo/pastadigital/092021000244282","09.2021.00024428-2")</f>
        <v>09.2021.00024428-2</v>
      </c>
      <c r="D37" s="5">
        <v>45323</v>
      </c>
      <c r="E37" s="9" t="str">
        <f>HYPERLINK("https://www8.mpce.mp.br/Empenhos/150001/Objeto/18-2022.pdf","LOCAÇÃO DE IMÓVEIS ONDE FUNCIONAM AS PROMOTORIAS DE JUSTIÇA DE CRATEÚS, CONTRATO 018/2022/PGJ, REFERENTE AO MÊS DE JAN/2024")</f>
        <v>LOCAÇÃO DE IMÓVEIS ONDE FUNCIONAM AS PROMOTORIAS DE JUSTIÇA DE CRATEÚS, CONTRATO 018/2022/PGJ, REFERENTE AO MÊS DE JAN/2024</v>
      </c>
      <c r="F37" s="3" t="s">
        <v>127</v>
      </c>
      <c r="G37" s="6" t="str">
        <f>HYPERLINK("http://www8.mpce.mp.br/Empenhos/150501/NE/2024NE000041.pdf","2024NE000041")</f>
        <v>2024NE000041</v>
      </c>
      <c r="H37" s="7">
        <v>26000.1</v>
      </c>
      <c r="I37" s="8" t="s">
        <v>145</v>
      </c>
      <c r="J37" s="12" t="s">
        <v>146</v>
      </c>
    </row>
    <row r="38" spans="1:10" ht="51" x14ac:dyDescent="0.25">
      <c r="A38" s="2" t="s">
        <v>45</v>
      </c>
      <c r="B38" s="3" t="s">
        <v>147</v>
      </c>
      <c r="C38" s="4" t="str">
        <f>HYPERLINK("http://www8.mpce.mp.br/Dispensa/405320185.pdf","4053/2018-5")</f>
        <v>4053/2018-5</v>
      </c>
      <c r="D38" s="5">
        <v>45320</v>
      </c>
      <c r="E38" s="9" t="str">
        <f>HYPERLINK("https://www8.mpce.mp.br/Empenhos/150001/Objeto/35-2018.pdf","MANUTENÇÃO DE ELEVADRO NO PRÉDIO DA RUA PHILOMENO GOMES, CONFORME CONTRATO 035/2018, POR ESTIMATIVA, RELATIVO AOS MESES DE JANEIRO A MARÇO/2024.")</f>
        <v>MANUTENÇÃO DE ELEVADRO NO PRÉDIO DA RUA PHILOMENO GOMES, CONFORME CONTRATO 035/2018, POR ESTIMATIVA, RELATIVO AOS MESES DE JANEIRO A MARÇO/2024.</v>
      </c>
      <c r="F38" s="3" t="s">
        <v>148</v>
      </c>
      <c r="G38" s="6" t="str">
        <f>HYPERLINK("http://www8.mpce.mp.br/Empenhos/150001/NE/2024NE000042.pdf","2024NE000042")</f>
        <v>2024NE000042</v>
      </c>
      <c r="H38" s="7">
        <v>2850</v>
      </c>
      <c r="I38" s="8" t="s">
        <v>149</v>
      </c>
      <c r="J38" s="12" t="s">
        <v>150</v>
      </c>
    </row>
    <row r="39" spans="1:10" ht="38.25" x14ac:dyDescent="0.25">
      <c r="A39" s="2" t="s">
        <v>45</v>
      </c>
      <c r="B39" s="3" t="s">
        <v>142</v>
      </c>
      <c r="C39" s="4" t="str">
        <f>HYPERLINK("http://www8.mpce.mp.br/Dispensa/2887720171.pdf","28877/2017-1")</f>
        <v>28877/2017-1</v>
      </c>
      <c r="D39" s="5">
        <v>45323</v>
      </c>
      <c r="E39" s="9" t="str">
        <f>HYPERLINK("https://www8.mpce.mp.br/Empenhos/150001/Objeto/24-2019.pdf","LOCAÇÃO DE IMÓVEIS ONDE FUNCIONAM AS PROMOTORIAS DE JUSTIÇA DE JAGUARIBE, CONTRATO 024/2019/PGJ, REFERENTE AO MÊS DE JAN/2024")</f>
        <v>LOCAÇÃO DE IMÓVEIS ONDE FUNCIONAM AS PROMOTORIAS DE JUSTIÇA DE JAGUARIBE, CONTRATO 024/2019/PGJ, REFERENTE AO MÊS DE JAN/2024</v>
      </c>
      <c r="F39" s="3" t="s">
        <v>127</v>
      </c>
      <c r="G39" s="6" t="str">
        <f>HYPERLINK("http://www8.mpce.mp.br/Empenhos/150501/NE/2024NE000044.pdf","2024NE000044")</f>
        <v>2024NE000044</v>
      </c>
      <c r="H39" s="7">
        <v>1431.35</v>
      </c>
      <c r="I39" s="8" t="s">
        <v>151</v>
      </c>
      <c r="J39" s="12" t="s">
        <v>152</v>
      </c>
    </row>
    <row r="40" spans="1:10" ht="38.25" x14ac:dyDescent="0.25">
      <c r="A40" s="2" t="s">
        <v>45</v>
      </c>
      <c r="B40" s="3" t="s">
        <v>142</v>
      </c>
      <c r="C40" s="4" t="str">
        <f>HYPERLINK("http://www8.mpce.mp.br/Dispensa/2826420164.pdf","28264/2016-4")</f>
        <v>28264/2016-4</v>
      </c>
      <c r="D40" s="5">
        <v>45323</v>
      </c>
      <c r="E40" s="9" t="str">
        <f>HYPERLINK("https://www8.mpce.mp.br/Empenhos/150001/Objeto/26-2016.pdf","LOCAÇÃO DE IMÓVEIS ONDE FUNCIONAM OS CENTROS DE APOIO OPERACIONAL E ÓRGÃOS DE INVESTIGAÇÃO, CONTRATO 026/2016/PGJ, REFERENTE AO MÊS DE JAN/2024")</f>
        <v>LOCAÇÃO DE IMÓVEIS ONDE FUNCIONAM OS CENTROS DE APOIO OPERACIONAL E ÓRGÃOS DE INVESTIGAÇÃO, CONTRATO 026/2016/PGJ, REFERENTE AO MÊS DE JAN/2024</v>
      </c>
      <c r="F40" s="3" t="s">
        <v>127</v>
      </c>
      <c r="G40" s="6" t="str">
        <f>HYPERLINK("http://www8.mpce.mp.br/Empenhos/150501/NE/2024NE000046.pdf","2024NE000046")</f>
        <v>2024NE000046</v>
      </c>
      <c r="H40" s="7">
        <v>61958.53</v>
      </c>
      <c r="I40" s="8" t="s">
        <v>153</v>
      </c>
      <c r="J40" s="12" t="s">
        <v>154</v>
      </c>
    </row>
    <row r="41" spans="1:10" ht="51" x14ac:dyDescent="0.25">
      <c r="A41" s="2" t="s">
        <v>45</v>
      </c>
      <c r="B41" s="3" t="s">
        <v>142</v>
      </c>
      <c r="C41" s="4" t="str">
        <f>HYPERLINK("https://transparencia-area-fim.mpce.mp.br/#/consulta/processo/pastadigital/092021000079244","09.2021.00007924-4")</f>
        <v>09.2021.00007924-4</v>
      </c>
      <c r="D41" s="5">
        <v>45330</v>
      </c>
      <c r="E41" s="9" t="str">
        <f>HYPERLINK("https://www8.mpce.mp.br/Empenhos/150001/Objeto/27-2021.pdf","LOCAÇÃO DE IMÓVEIS ONDE FUNCIONAM AS PROMOTORIAS DE JUSTIÇA DE EUSÉBIO (EDIFÍCIO OFFICE &amp; MEDICAL CENTER EUSÉBIO), CONTRATO 027/2021/PGJ REFERENTE AO MES DE JAN/2024")</f>
        <v>LOCAÇÃO DE IMÓVEIS ONDE FUNCIONAM AS PROMOTORIAS DE JUSTIÇA DE EUSÉBIO (EDIFÍCIO OFFICE &amp; MEDICAL CENTER EUSÉBIO), CONTRATO 027/2021/PGJ REFERENTE AO MES DE JAN/2024</v>
      </c>
      <c r="F41" s="3" t="s">
        <v>127</v>
      </c>
      <c r="G41" s="6" t="str">
        <f>HYPERLINK("http://www8.mpce.mp.br/Empenhos/150501/NE/2024NE000047.pdf","2024NE000047")</f>
        <v>2024NE000047</v>
      </c>
      <c r="H41" s="7">
        <v>5546.1</v>
      </c>
      <c r="I41" s="8" t="s">
        <v>155</v>
      </c>
      <c r="J41" s="12" t="s">
        <v>156</v>
      </c>
    </row>
    <row r="42" spans="1:10" ht="38.25" x14ac:dyDescent="0.25">
      <c r="A42" s="2" t="s">
        <v>45</v>
      </c>
      <c r="B42" s="3" t="s">
        <v>142</v>
      </c>
      <c r="C42" s="4" t="str">
        <f>HYPERLINK("https://transparencia-area-fim.mpce.mp.br/#/consulta/processo/pastadigital/092021000063220","09.2021.00006322-0")</f>
        <v>09.2021.00006322-0</v>
      </c>
      <c r="D42" s="5">
        <v>45323</v>
      </c>
      <c r="E42" s="9" t="str">
        <f>HYPERLINK("https://www8.mpce.mp.br/Empenhos/150001/Objeto/33-2021.pdf","LOCAÇÃO DE IMÓVEIS ONDE FUNCIONAM AS PROMOTORIAS DE JUSTIÇA DE SOBRAL, CONTRATO 033/2021/PGJ REFERENTE AO MES DE JAN/2024")</f>
        <v>LOCAÇÃO DE IMÓVEIS ONDE FUNCIONAM AS PROMOTORIAS DE JUSTIÇA DE SOBRAL, CONTRATO 033/2021/PGJ REFERENTE AO MES DE JAN/2024</v>
      </c>
      <c r="F42" s="3" t="s">
        <v>127</v>
      </c>
      <c r="G42" s="6" t="str">
        <f>HYPERLINK("http://www8.mpce.mp.br/Empenhos/150501/NE/2024NE000048.pdf","2024NE000048")</f>
        <v>2024NE000048</v>
      </c>
      <c r="H42" s="7">
        <v>33400.11</v>
      </c>
      <c r="I42" s="8" t="s">
        <v>145</v>
      </c>
      <c r="J42" s="12" t="s">
        <v>146</v>
      </c>
    </row>
    <row r="43" spans="1:10" ht="38.25" x14ac:dyDescent="0.25">
      <c r="A43" s="2" t="s">
        <v>45</v>
      </c>
      <c r="B43" s="3" t="s">
        <v>142</v>
      </c>
      <c r="C43" s="4" t="str">
        <f>HYPERLINK("https://transparencia-area-fim.mpce.mp.br/#/consulta/processo/pastadigital/092021000065217","09.2021.00006521-7")</f>
        <v>09.2021.00006521-7</v>
      </c>
      <c r="D43" s="5">
        <v>45323</v>
      </c>
      <c r="E43" s="9" t="str">
        <f>HYPERLINK("https://www8.mpce.mp.br/Empenhos/150001/Objeto/38-2021.pdf","LOCAÇÃO DE IMÓVEIS ONDE FUNCIONAM AS PROMOTORIAS DE JUSTIÇA DE TAUÁ, CONTRATO 038/2021/PGJ REFERENTE AO MES DE JAN/2024")</f>
        <v>LOCAÇÃO DE IMÓVEIS ONDE FUNCIONAM AS PROMOTORIAS DE JUSTIÇA DE TAUÁ, CONTRATO 038/2021/PGJ REFERENTE AO MES DE JAN/2024</v>
      </c>
      <c r="F43" s="3" t="s">
        <v>127</v>
      </c>
      <c r="G43" s="6" t="str">
        <f>HYPERLINK("http://www8.mpce.mp.br/Empenhos/150501/NE/2024NE000049.pdf","2024NE000049")</f>
        <v>2024NE000049</v>
      </c>
      <c r="H43" s="7">
        <v>18000</v>
      </c>
      <c r="I43" s="8" t="s">
        <v>157</v>
      </c>
      <c r="J43" s="12" t="s">
        <v>158</v>
      </c>
    </row>
    <row r="44" spans="1:10" ht="38.25" x14ac:dyDescent="0.25">
      <c r="A44" s="2" t="s">
        <v>45</v>
      </c>
      <c r="B44" s="3" t="s">
        <v>142</v>
      </c>
      <c r="C44" s="4" t="str">
        <f>HYPERLINK("http://www8.mpce.mp.br/Dispensa/1291020194.pdf","12910/2019-4")</f>
        <v>12910/2019-4</v>
      </c>
      <c r="D44" s="5">
        <v>45323</v>
      </c>
      <c r="E44" s="9" t="str">
        <f>HYPERLINK("https://www8.mpce.mp.br/Empenhos/150001/Objeto/39-2019.pdf","LOCAÇÃO DE IMÓVEIS ONDE FUNCIONAM AS PROMOTORIAS DA INFÂNCIA E JUVENTUDE, CONTRATO 039/2019/PGJ REFERENTE AO MES DE JAN/2024")</f>
        <v>LOCAÇÃO DE IMÓVEIS ONDE FUNCIONAM AS PROMOTORIAS DA INFÂNCIA E JUVENTUDE, CONTRATO 039/2019/PGJ REFERENTE AO MES DE JAN/2024</v>
      </c>
      <c r="F44" s="3" t="s">
        <v>127</v>
      </c>
      <c r="G44" s="6" t="str">
        <f>HYPERLINK("http://www8.mpce.mp.br/Empenhos/150501/NE/2024NE000050.pdf","2024NE000050")</f>
        <v>2024NE000050</v>
      </c>
      <c r="H44" s="7">
        <v>4428.03</v>
      </c>
      <c r="I44" s="8" t="s">
        <v>159</v>
      </c>
      <c r="J44" s="12" t="s">
        <v>160</v>
      </c>
    </row>
    <row r="45" spans="1:10" ht="38.25" x14ac:dyDescent="0.25">
      <c r="A45" s="2" t="s">
        <v>45</v>
      </c>
      <c r="B45" s="3" t="s">
        <v>161</v>
      </c>
      <c r="C45" s="4" t="str">
        <f>HYPERLINK("https://transparencia-area-fim.mpce.mp.br/#/consulta/processo/pastadigital/092021000064195","09.2021.00006419-5")</f>
        <v>09.2021.00006419-5</v>
      </c>
      <c r="D45" s="5">
        <v>45323</v>
      </c>
      <c r="E45" s="9" t="str">
        <f>HYPERLINK("https://www8.mpce.mp.br/Empenhos/150001/Objeto/41-2021.pdf","LOCAÇÃO DE IMÓVEIS ONDE FUNCIONAM AS PROMOTORIAS DE JUSTIÇA DE QUIXADÁ, CONTRATO 041/2021/PGJ REFERENTE AO MES DE JAN/2024")</f>
        <v>LOCAÇÃO DE IMÓVEIS ONDE FUNCIONAM AS PROMOTORIAS DE JUSTIÇA DE QUIXADÁ, CONTRATO 041/2021/PGJ REFERENTE AO MES DE JAN/2024</v>
      </c>
      <c r="F45" s="3" t="s">
        <v>127</v>
      </c>
      <c r="G45" s="6" t="str">
        <f>HYPERLINK("http://www8.mpce.mp.br/Empenhos/150501/NE/2024NE000051.pdf","2024NE000051")</f>
        <v>2024NE000051</v>
      </c>
      <c r="H45" s="7">
        <v>18900</v>
      </c>
      <c r="I45" s="8" t="s">
        <v>140</v>
      </c>
      <c r="J45" s="12" t="s">
        <v>141</v>
      </c>
    </row>
    <row r="46" spans="1:10" ht="38.25" x14ac:dyDescent="0.25">
      <c r="A46" s="2" t="s">
        <v>45</v>
      </c>
      <c r="B46" s="3" t="s">
        <v>161</v>
      </c>
      <c r="C46" s="4" t="str">
        <f>HYPERLINK("https://transparencia-area-fim.mpce.mp.br/#/consulta/processo/pastadigital/092021000219739","09.2021.00021973-9")</f>
        <v>09.2021.00021973-9</v>
      </c>
      <c r="D46" s="5">
        <v>45323</v>
      </c>
      <c r="E46" s="9" t="str">
        <f>HYPERLINK("https://www8.mpce.mp.br/Empenhos/150001/Objeto/45-2021.pdf","LOCAÇÃO DE IMÓVEIS ONDE FUNCIONAM AS PROMOTORIAS DE JUSTIÇA DE EUSÉBIO, CONTRATO 045/2021/PGJ REFERENTE AO MES DE JAN/2024")</f>
        <v>LOCAÇÃO DE IMÓVEIS ONDE FUNCIONAM AS PROMOTORIAS DE JUSTIÇA DE EUSÉBIO, CONTRATO 045/2021/PGJ REFERENTE AO MES DE JAN/2024</v>
      </c>
      <c r="F46" s="3" t="s">
        <v>127</v>
      </c>
      <c r="G46" s="6" t="str">
        <f>HYPERLINK("http://www8.mpce.mp.br/Empenhos/150501/NE/2024NE000052.pdf","2024NE000052")</f>
        <v>2024NE000052</v>
      </c>
      <c r="H46" s="7">
        <v>1640.35</v>
      </c>
      <c r="I46" s="8" t="s">
        <v>155</v>
      </c>
      <c r="J46" s="12" t="s">
        <v>156</v>
      </c>
    </row>
    <row r="47" spans="1:10" ht="38.25" x14ac:dyDescent="0.25">
      <c r="A47" s="2" t="s">
        <v>45</v>
      </c>
      <c r="B47" s="3" t="s">
        <v>161</v>
      </c>
      <c r="C47" s="4" t="str">
        <f>HYPERLINK("http://www8.mpce.mp.br/Dispensa/1984020196.pdf","19840/2019-6")</f>
        <v>19840/2019-6</v>
      </c>
      <c r="D47" s="5">
        <v>45323</v>
      </c>
      <c r="E47" s="9" t="str">
        <f>HYPERLINK("https://www8.mpce.mp.br/Empenhos/150001/Objeto/48-2019.pdf","LOCAÇÃO DE IMÓVEIS ONDE FUNCIONAM AS PROMOTORIAS DE JUSTIÇA DE CAUCAIA, CONTRATO 048/2019/PGJ REFERENTE AO MES DE JAN/2024")</f>
        <v>LOCAÇÃO DE IMÓVEIS ONDE FUNCIONAM AS PROMOTORIAS DE JUSTIÇA DE CAUCAIA, CONTRATO 048/2019/PGJ REFERENTE AO MES DE JAN/2024</v>
      </c>
      <c r="F47" s="3" t="s">
        <v>127</v>
      </c>
      <c r="G47" s="6" t="str">
        <f>HYPERLINK("http://www8.mpce.mp.br/Empenhos/150501/NE/2024NE000053.pdf","2024NE000053")</f>
        <v>2024NE000053</v>
      </c>
      <c r="H47" s="7">
        <v>45512.77</v>
      </c>
      <c r="I47" s="8" t="s">
        <v>162</v>
      </c>
      <c r="J47" s="12" t="s">
        <v>163</v>
      </c>
    </row>
    <row r="48" spans="1:10" ht="38.25" x14ac:dyDescent="0.25">
      <c r="A48" s="2" t="s">
        <v>20</v>
      </c>
      <c r="B48" s="3" t="s">
        <v>21</v>
      </c>
      <c r="C48" s="4" t="str">
        <f>HYPERLINK("https://transparencia-area-fim.mpce.mp.br/#/consulta/processo/pastadigital/092023000293915","09.2023.00029391-5")</f>
        <v>09.2023.00029391-5</v>
      </c>
      <c r="D48" s="5">
        <v>45323</v>
      </c>
      <c r="E48" s="9" t="str">
        <f>HYPERLINK("https://www8.mpce.mp.br/Empenhos/150001/Objeto/54-2023.pdf","LOCAÇÃO DE IMÓVEL ONDE FUNCIONA O GALPÃO DO ALMOXARIFADO, CONTRATO 054/2023/PGJ REFERENTE AO MES DE JAN/2024")</f>
        <v>LOCAÇÃO DE IMÓVEL ONDE FUNCIONA O GALPÃO DO ALMOXARIFADO, CONTRATO 054/2023/PGJ REFERENTE AO MES DE JAN/2024</v>
      </c>
      <c r="F48" s="3" t="s">
        <v>127</v>
      </c>
      <c r="G48" s="6" t="str">
        <f>HYPERLINK("http://www8.mpce.mp.br/Empenhos/150501/NE/2024NE000054.pdf","2024NE000054")</f>
        <v>2024NE000054</v>
      </c>
      <c r="H48" s="7">
        <v>22000</v>
      </c>
      <c r="I48" s="8" t="s">
        <v>164</v>
      </c>
      <c r="J48" s="12" t="s">
        <v>165</v>
      </c>
    </row>
    <row r="49" spans="1:10" ht="38.25" x14ac:dyDescent="0.25">
      <c r="A49" s="2" t="s">
        <v>20</v>
      </c>
      <c r="B49" s="3" t="s">
        <v>166</v>
      </c>
      <c r="C49" s="4" t="str">
        <f>HYPERLINK("https://transparencia-area-fim.mpce.mp.br/#/consulta/processo/pastadigital/092023000214163","09.2023.00021416-3")</f>
        <v>09.2023.00021416-3</v>
      </c>
      <c r="D49" s="5">
        <v>45323</v>
      </c>
      <c r="E49" s="9" t="str">
        <f>HYPERLINK("https://www8.mpce.mp.br/Empenhos/150001/Objeto/56-2023.pdf","LOCAÇÃO DE IMÓVEIS ONDE FUNCIONAM AS PROMOTORIAS DE JUSTIÇA DE BATURITÉ, CONTRATO 056/2023/PGJ REFERENTE AO MES DE JAN/2024")</f>
        <v>LOCAÇÃO DE IMÓVEIS ONDE FUNCIONAM AS PROMOTORIAS DE JUSTIÇA DE BATURITÉ, CONTRATO 056/2023/PGJ REFERENTE AO MES DE JAN/2024</v>
      </c>
      <c r="F49" s="3" t="s">
        <v>127</v>
      </c>
      <c r="G49" s="6" t="str">
        <f>HYPERLINK("http://www8.mpce.mp.br/Empenhos/150501/NE/2024NE000055.pdf","2024NE000055")</f>
        <v>2024NE000055</v>
      </c>
      <c r="H49" s="7">
        <v>5400</v>
      </c>
      <c r="I49" s="8" t="s">
        <v>167</v>
      </c>
      <c r="J49" s="12" t="s">
        <v>168</v>
      </c>
    </row>
    <row r="50" spans="1:10" ht="38.25" x14ac:dyDescent="0.25">
      <c r="A50" s="2" t="s">
        <v>45</v>
      </c>
      <c r="B50" s="3" t="s">
        <v>130</v>
      </c>
      <c r="C50" s="4" t="str">
        <f>HYPERLINK("http://www8.mpce.mp.br/Dispensa/4793720162.pdf","4793720162")</f>
        <v>4793720162</v>
      </c>
      <c r="D50" s="5">
        <v>45324</v>
      </c>
      <c r="E50" s="9" t="str">
        <f>HYPERLINK("https://www8.mpce.mp.br/Empenhos/150001/Objeto/14-2017.pdf","LOCAÇÃO  DO IMÓVEL ONDE FUNCIONA O GALPÃO DO ALMOXARIFADO, NA RUA NEUZINHA PARENTE,610, CONFORME CONTRATO 14/2017 REF JANEIRO/2024.")</f>
        <v>LOCAÇÃO  DO IMÓVEL ONDE FUNCIONA O GALPÃO DO ALMOXARIFADO, NA RUA NEUZINHA PARENTE,610, CONFORME CONTRATO 14/2017 REF JANEIRO/2024.</v>
      </c>
      <c r="F50" s="3" t="s">
        <v>127</v>
      </c>
      <c r="G50" s="6" t="str">
        <f>HYPERLINK("http://www8.mpce.mp.br/Empenhos/150501/NE/2024NE000056.pdf","2024NE000056")</f>
        <v>2024NE000056</v>
      </c>
      <c r="H50" s="7">
        <v>22143.48</v>
      </c>
      <c r="I50" s="8" t="s">
        <v>164</v>
      </c>
      <c r="J50" s="12" t="s">
        <v>165</v>
      </c>
    </row>
    <row r="51" spans="1:10" ht="51" x14ac:dyDescent="0.25">
      <c r="A51" s="2" t="s">
        <v>45</v>
      </c>
      <c r="B51" s="3" t="s">
        <v>130</v>
      </c>
      <c r="C51" s="4" t="str">
        <f>HYPERLINK("http://www8.mpce.mp.br/Dispensa/842220170.pdf","8422/20170")</f>
        <v>8422/20170</v>
      </c>
      <c r="D51" s="5">
        <v>45324</v>
      </c>
      <c r="E51" s="9" t="str">
        <f>HYPERLINK("https://www8.mpce.mp.br/Empenhos/150001/Objeto/16-2017.pdf","LOCAÇÃO DE IMÓVEL A RUA CORONEL JOSÉ PHILOMENO,222, ENG. LUCIANO CAVALCANTE, CONFORME CONTRATO 16/2017, POR ESTIMATIVA E REF MÊS DE JANEIRO/2024.")</f>
        <v>LOCAÇÃO DE IMÓVEL A RUA CORONEL JOSÉ PHILOMENO,222, ENG. LUCIANO CAVALCANTE, CONFORME CONTRATO 16/2017, POR ESTIMATIVA E REF MÊS DE JANEIRO/2024.</v>
      </c>
      <c r="F51" s="3" t="s">
        <v>127</v>
      </c>
      <c r="G51" s="6" t="str">
        <f>HYPERLINK("http://www8.mpce.mp.br/Empenhos/150501/NE/2024NE000057.pdf","2024NE000057")</f>
        <v>2024NE000057</v>
      </c>
      <c r="H51" s="7">
        <v>58910.97</v>
      </c>
      <c r="I51" s="8" t="s">
        <v>169</v>
      </c>
      <c r="J51" s="12" t="s">
        <v>170</v>
      </c>
    </row>
    <row r="52" spans="1:10" ht="38.25" x14ac:dyDescent="0.25">
      <c r="A52" s="2" t="s">
        <v>45</v>
      </c>
      <c r="B52" s="3" t="s">
        <v>171</v>
      </c>
      <c r="C52" s="4" t="str">
        <f>HYPERLINK("http://www8.mpce.mp.br/Dispensa/2004820193.pdf","20048/2019-3")</f>
        <v>20048/2019-3</v>
      </c>
      <c r="D52" s="5">
        <v>45324</v>
      </c>
      <c r="E52" s="9" t="str">
        <f>HYPERLINK("https://www8.mpce.mp.br/Empenhos/150001/Objeto/84-2019.pdf","LOCAÇÃO DE IMÓVEIS ONDE FUNCIONAM AS PROMOTORIAS DE JUSTIÇA DE MOMBAÇA, CONTRATO 084/2019/PGJ REFERENTE AO MES DE JAN/2024")</f>
        <v>LOCAÇÃO DE IMÓVEIS ONDE FUNCIONAM AS PROMOTORIAS DE JUSTIÇA DE MOMBAÇA, CONTRATO 084/2019/PGJ REFERENTE AO MES DE JAN/2024</v>
      </c>
      <c r="F52" s="3" t="s">
        <v>172</v>
      </c>
      <c r="G52" s="6" t="str">
        <f>HYPERLINK("http://www8.mpce.mp.br/Empenhos/150501/NE/2024NE000058.pdf","2024NE000058")</f>
        <v>2024NE000058</v>
      </c>
      <c r="H52" s="7">
        <v>4000</v>
      </c>
      <c r="I52" s="8" t="s">
        <v>173</v>
      </c>
      <c r="J52" s="12" t="s">
        <v>174</v>
      </c>
    </row>
    <row r="53" spans="1:10" ht="38.25" x14ac:dyDescent="0.25">
      <c r="A53" s="2" t="s">
        <v>45</v>
      </c>
      <c r="B53" s="3" t="s">
        <v>130</v>
      </c>
      <c r="C53" s="4" t="str">
        <f>HYPERLINK("http://www8.mpce.mp.br/Dispensa/2060220148.pdf","20602/2014-8")</f>
        <v>20602/2014-8</v>
      </c>
      <c r="D53" s="5">
        <v>45324</v>
      </c>
      <c r="E53" s="9" t="str">
        <f>HYPERLINK("https://www8.mpce.mp.br/Empenhos/150001/Objeto/19-2014.pdf","LOCAÇÃO DE IMÓVEL NA RUA MONTEIRO LOBATO,96 BAIRRO DE FÁTIMA, REFERENTE AO M~ES DE JANEIRO/2024 CONFORME CONTRATO 19/2014.")</f>
        <v>LOCAÇÃO DE IMÓVEL NA RUA MONTEIRO LOBATO,96 BAIRRO DE FÁTIMA, REFERENTE AO M~ES DE JANEIRO/2024 CONFORME CONTRATO 19/2014.</v>
      </c>
      <c r="F53" s="3" t="s">
        <v>127</v>
      </c>
      <c r="G53" s="6" t="str">
        <f>HYPERLINK("http://www8.mpce.mp.br/Empenhos/150501/NE/2024NE000059.pdf","2024NE000059")</f>
        <v>2024NE000059</v>
      </c>
      <c r="H53" s="7">
        <v>7269.13</v>
      </c>
      <c r="I53" s="8" t="s">
        <v>175</v>
      </c>
      <c r="J53" s="12" t="s">
        <v>176</v>
      </c>
    </row>
    <row r="54" spans="1:10" ht="38.25" x14ac:dyDescent="0.25">
      <c r="A54" s="2" t="s">
        <v>45</v>
      </c>
      <c r="B54" s="3" t="s">
        <v>142</v>
      </c>
      <c r="C54" s="4" t="str">
        <f>HYPERLINK("http://www8.mpce.mp.br/Dispensa/2398120192.pdf","23981/2019-2")</f>
        <v>23981/2019-2</v>
      </c>
      <c r="D54" s="5">
        <v>45324</v>
      </c>
      <c r="E54" s="9" t="str">
        <f>HYPERLINK("https://www8.mpce.mp.br/Empenhos/150001/Objeto/63-2019.pdf","LOCAÇÃO DE IMÓVEIS ONDE FUNCIONAM AS PROMOTORIAS DE JUSTIÇA DE JUAZEIRO DO NORTE, CONTRATO 063/2019/PGJ REFERENTE AO MES DE JAN/2024")</f>
        <v>LOCAÇÃO DE IMÓVEIS ONDE FUNCIONAM AS PROMOTORIAS DE JUSTIÇA DE JUAZEIRO DO NORTE, CONTRATO 063/2019/PGJ REFERENTE AO MES DE JAN/2024</v>
      </c>
      <c r="F54" s="3" t="s">
        <v>172</v>
      </c>
      <c r="G54" s="6" t="str">
        <f>HYPERLINK("http://www8.mpce.mp.br/Empenhos/150501/NE/2024NE000060.pdf","2024NE000060")</f>
        <v>2024NE000060</v>
      </c>
      <c r="H54" s="7">
        <v>1065.1600000000001</v>
      </c>
      <c r="I54" s="8" t="s">
        <v>177</v>
      </c>
      <c r="J54" s="12" t="s">
        <v>178</v>
      </c>
    </row>
    <row r="55" spans="1:10" ht="38.25" x14ac:dyDescent="0.25">
      <c r="A55" s="2" t="s">
        <v>45</v>
      </c>
      <c r="B55" s="3" t="s">
        <v>179</v>
      </c>
      <c r="C55" s="4" t="str">
        <f>HYPERLINK("http://www8.mpce.mp.br/Dispensa/3357020159.pdf","33570/2015-9")</f>
        <v>33570/2015-9</v>
      </c>
      <c r="D55" s="5">
        <v>45324</v>
      </c>
      <c r="E55" s="9" t="str">
        <f>HYPERLINK("https://www8.mpce.mp.br/Empenhos/150001/Objeto/28-2015.pdf","LOCAÇÃO DE IMÓVEL A RUA NELSON STUDART, 199- AGUA FRIA REF AO MÊS DE JANEIRO/2024, CONFORME CONTRATO N 28/2015.")</f>
        <v>LOCAÇÃO DE IMÓVEL A RUA NELSON STUDART, 199- AGUA FRIA REF AO MÊS DE JANEIRO/2024, CONFORME CONTRATO N 28/2015.</v>
      </c>
      <c r="F55" s="3" t="s">
        <v>172</v>
      </c>
      <c r="G55" s="6" t="str">
        <f>HYPERLINK("http://www8.mpce.mp.br/Empenhos/150501/NE/2024NE000061.pdf","2024NE000061")</f>
        <v>2024NE000061</v>
      </c>
      <c r="H55" s="7">
        <v>27329.279999999999</v>
      </c>
      <c r="I55" s="8" t="s">
        <v>180</v>
      </c>
      <c r="J55" s="12" t="s">
        <v>181</v>
      </c>
    </row>
    <row r="56" spans="1:10" ht="38.25" x14ac:dyDescent="0.25">
      <c r="A56" s="2" t="s">
        <v>45</v>
      </c>
      <c r="B56" s="3" t="s">
        <v>130</v>
      </c>
      <c r="C56" s="4" t="str">
        <f>HYPERLINK("https://transparencia-area-fim.mpce.mp.br/#/consulta/processo/pastadigital/092021000244582","09.2021.00024458-2")</f>
        <v>09.2021.00024458-2</v>
      </c>
      <c r="D56" s="5">
        <v>45324</v>
      </c>
      <c r="E56" s="9" t="str">
        <f>HYPERLINK("https://www8.mpce.mp.br/Empenhos/150001/Objeto/11-2022.pdf","LOCAÇÃO DE IMÓVEL ONDE FUNCIONAM AS PROMOTORIAS DE ARACATI-CE, REFERENTE AO MÊS DE JANEIRO DE 2024, CONFORME CONTRATO 11/2022.")</f>
        <v>LOCAÇÃO DE IMÓVEL ONDE FUNCIONAM AS PROMOTORIAS DE ARACATI-CE, REFERENTE AO MÊS DE JANEIRO DE 2024, CONFORME CONTRATO 11/2022.</v>
      </c>
      <c r="F56" s="3" t="s">
        <v>127</v>
      </c>
      <c r="G56" s="6" t="str">
        <f>HYPERLINK("http://www8.mpce.mp.br/Empenhos/150501/NE/2024NE000062.pdf","2024NE000062")</f>
        <v>2024NE000062</v>
      </c>
      <c r="H56" s="7">
        <v>18465</v>
      </c>
      <c r="I56" s="8" t="s">
        <v>182</v>
      </c>
      <c r="J56" s="12" t="s">
        <v>183</v>
      </c>
    </row>
    <row r="57" spans="1:10" ht="38.25" x14ac:dyDescent="0.25">
      <c r="A57" s="2" t="s">
        <v>45</v>
      </c>
      <c r="B57" s="3" t="s">
        <v>142</v>
      </c>
      <c r="C57" s="4" t="str">
        <f>HYPERLINK("http://www8.mpce.mp.br/Dispensa/2330020195.pdf","23300/2019-5")</f>
        <v>23300/2019-5</v>
      </c>
      <c r="D57" s="5">
        <v>45324</v>
      </c>
      <c r="E57" s="9" t="str">
        <f>HYPERLINK("https://www8.mpce.mp.br/Empenhos/150001/Objeto/61-2019.pdf","LOCAÇÃO DE IMÓVEIS ONDE FUNCIONAM AS PROMOTORIAS DE JUSTIÇA DE ACARAÚ, CONTRATO 061/2019/PGJ REFERENTE AO MES DE JAN/2024")</f>
        <v>LOCAÇÃO DE IMÓVEIS ONDE FUNCIONAM AS PROMOTORIAS DE JUSTIÇA DE ACARAÚ, CONTRATO 061/2019/PGJ REFERENTE AO MES DE JAN/2024</v>
      </c>
      <c r="F57" s="3" t="s">
        <v>172</v>
      </c>
      <c r="G57" s="6" t="str">
        <f>HYPERLINK("http://www8.mpce.mp.br/Empenhos/150501/NE/2024NE000063.pdf","2024NE000063")</f>
        <v>2024NE000063</v>
      </c>
      <c r="H57" s="7">
        <v>1400</v>
      </c>
      <c r="I57" s="8" t="s">
        <v>184</v>
      </c>
      <c r="J57" s="12" t="s">
        <v>185</v>
      </c>
    </row>
    <row r="58" spans="1:10" ht="38.25" x14ac:dyDescent="0.25">
      <c r="A58" s="2" t="s">
        <v>45</v>
      </c>
      <c r="B58" s="3" t="s">
        <v>130</v>
      </c>
      <c r="C58" s="4" t="str">
        <f>HYPERLINK("https://transparencia-area-fim.mpce.mp.br/#/consulta/processo/pastadigital/092021000244271","09.2021.00024427-1")</f>
        <v>09.2021.00024427-1</v>
      </c>
      <c r="D58" s="5">
        <v>45324</v>
      </c>
      <c r="E58" s="9" t="str">
        <f>HYPERLINK("https://www8.mpce.mp.br/Empenhos/150001/Objeto/17-2022.pdf","LOCAÇÃO DE IMÓVEL ONDE FUNCIONAM AS PROMOTORIAS DE TIANGUÁ-CE CONFORME CONTRATO 17/2022 REF JANEIRO/2024.")</f>
        <v>LOCAÇÃO DE IMÓVEL ONDE FUNCIONAM AS PROMOTORIAS DE TIANGUÁ-CE CONFORME CONTRATO 17/2022 REF JANEIRO/2024.</v>
      </c>
      <c r="F58" s="3" t="s">
        <v>127</v>
      </c>
      <c r="G58" s="6" t="str">
        <f>HYPERLINK("http://www8.mpce.mp.br/Empenhos/150501/NE/2024NE000064.pdf","2024NE000064")</f>
        <v>2024NE000064</v>
      </c>
      <c r="H58" s="7">
        <v>26000</v>
      </c>
      <c r="I58" s="8" t="s">
        <v>186</v>
      </c>
      <c r="J58" s="12" t="s">
        <v>187</v>
      </c>
    </row>
    <row r="59" spans="1:10" ht="38.25" x14ac:dyDescent="0.25">
      <c r="A59" s="2" t="s">
        <v>45</v>
      </c>
      <c r="B59" s="3" t="s">
        <v>130</v>
      </c>
      <c r="C59" s="4" t="str">
        <f>HYPERLINK("http://www8.mpce.mp.br/Dispensa/1320920133.pdf","13209/2013-3")</f>
        <v>13209/2013-3</v>
      </c>
      <c r="D59" s="5">
        <v>45324</v>
      </c>
      <c r="E59" s="9" t="str">
        <f>HYPERLINK("https://www8.mpce.mp.br/Empenhos/150001/Objeto/43-2013.pdf","LOCAÇÃO DE IMÓVEL DAS PROMOTORIAS DE MORADA NOVA-CE REF MÊS DE JANEIRO/2024., CONFORME CONTRATO 43/2013")</f>
        <v>LOCAÇÃO DE IMÓVEL DAS PROMOTORIAS DE MORADA NOVA-CE REF MÊS DE JANEIRO/2024., CONFORME CONTRATO 43/2013</v>
      </c>
      <c r="F59" s="3" t="s">
        <v>172</v>
      </c>
      <c r="G59" s="6" t="str">
        <f>HYPERLINK("http://www8.mpce.mp.br/Empenhos/150501/NE/2024NE000065.pdf","2024NE000065")</f>
        <v>2024NE000065</v>
      </c>
      <c r="H59" s="7">
        <v>8150.28</v>
      </c>
      <c r="I59" s="8" t="s">
        <v>188</v>
      </c>
      <c r="J59" s="12" t="s">
        <v>189</v>
      </c>
    </row>
    <row r="60" spans="1:10" ht="38.25" x14ac:dyDescent="0.25">
      <c r="A60" s="2" t="s">
        <v>45</v>
      </c>
      <c r="B60" s="3" t="s">
        <v>142</v>
      </c>
      <c r="C60" s="4" t="str">
        <f>HYPERLINK("http://www8.mpce.mp.br/Dispensa/2150720189.pdf","21507/2018-9")</f>
        <v>21507/2018-9</v>
      </c>
      <c r="D60" s="5">
        <v>45324</v>
      </c>
      <c r="E60" s="9" t="str">
        <f>HYPERLINK("https://www8.mpce.mp.br/Empenhos/150001/Objeto/51-2019.pdf","LOCAÇÃO DE IMÓVEIS ONDE FUNCIONAM AS PROMOTORIAS DE JUSTIÇA DE VIÇOSA DO CEARÁ, CONTRATO 051/2019/PGJ REFERENTE AO MES DE JAN/2024")</f>
        <v>LOCAÇÃO DE IMÓVEIS ONDE FUNCIONAM AS PROMOTORIAS DE JUSTIÇA DE VIÇOSA DO CEARÁ, CONTRATO 051/2019/PGJ REFERENTE AO MES DE JAN/2024</v>
      </c>
      <c r="F60" s="3" t="s">
        <v>172</v>
      </c>
      <c r="G60" s="6" t="str">
        <f>HYPERLINK("http://www8.mpce.mp.br/Empenhos/150501/NE/2024NE000066.pdf","2024NE000066")</f>
        <v>2024NE000066</v>
      </c>
      <c r="H60" s="7">
        <v>2935.71</v>
      </c>
      <c r="I60" s="8" t="s">
        <v>190</v>
      </c>
      <c r="J60" s="12" t="s">
        <v>191</v>
      </c>
    </row>
    <row r="61" spans="1:10" ht="38.25" x14ac:dyDescent="0.25">
      <c r="A61" s="2" t="s">
        <v>45</v>
      </c>
      <c r="B61" s="3" t="s">
        <v>192</v>
      </c>
      <c r="C61" s="4" t="str">
        <f>HYPERLINK("https://transparencia-area-fim.mpce.mp.br/#/consulta/processo/pastadigital/092022000230870","09.2022.00023087-0")</f>
        <v>09.2022.00023087-0</v>
      </c>
      <c r="D61" s="5">
        <v>45324</v>
      </c>
      <c r="E61" s="9" t="str">
        <f>HYPERLINK("https://www8.mpce.mp.br/Empenhos/150001/Objeto/29-2022.pdf","LOCAÇÃO DE IMÓVEL DAS PROMOTORIAS DA COMARCA DE JUAZEIRO DO NORTE-CE REF M~ES DE JANEIRO DE 2024 E CONFORME CONTRATO 029/2022")</f>
        <v>LOCAÇÃO DE IMÓVEL DAS PROMOTORIAS DA COMARCA DE JUAZEIRO DO NORTE-CE REF M~ES DE JANEIRO DE 2024 E CONFORME CONTRATO 029/2022</v>
      </c>
      <c r="F61" s="3" t="s">
        <v>127</v>
      </c>
      <c r="G61" s="6" t="str">
        <f>HYPERLINK("http://www8.mpce.mp.br/Empenhos/150501/NE/2024NE000067.pdf","2024NE000067")</f>
        <v>2024NE000067</v>
      </c>
      <c r="H61" s="7">
        <v>66161.41</v>
      </c>
      <c r="I61" s="8" t="s">
        <v>143</v>
      </c>
      <c r="J61" s="12" t="s">
        <v>144</v>
      </c>
    </row>
    <row r="62" spans="1:10" ht="38.25" x14ac:dyDescent="0.25">
      <c r="A62" s="2" t="s">
        <v>20</v>
      </c>
      <c r="B62" s="3" t="s">
        <v>166</v>
      </c>
      <c r="C62" s="4" t="str">
        <f>HYPERLINK("https://transparencia-area-fim.mpce.mp.br/#/consulta/processo/pastadigital/092022000371847","09.2022.00037184-7")</f>
        <v>09.2022.00037184-7</v>
      </c>
      <c r="D62" s="5">
        <v>45324</v>
      </c>
      <c r="E62" s="9" t="str">
        <f>HYPERLINK("https://www8.mpce.mp.br/Empenhos/150001/Objeto/44-2023.pdf","LOCAÇÃO DE IMÓVEIS ONDE FUNCIONAM AS PROMOTORIAS DE JUSTIÇA DE MARCO, CONTRATO 044/2023/PGJ REFERENTE AO MES DE JAN/2024")</f>
        <v>LOCAÇÃO DE IMÓVEIS ONDE FUNCIONAM AS PROMOTORIAS DE JUSTIÇA DE MARCO, CONTRATO 044/2023/PGJ REFERENTE AO MES DE JAN/2024</v>
      </c>
      <c r="F62" s="3" t="s">
        <v>172</v>
      </c>
      <c r="G62" s="6" t="str">
        <f>HYPERLINK("http://www8.mpce.mp.br/Empenhos/150501/NE/2024NE000068.pdf","2024NE000068")</f>
        <v>2024NE000068</v>
      </c>
      <c r="H62" s="7">
        <v>1200</v>
      </c>
      <c r="I62" s="8" t="s">
        <v>193</v>
      </c>
      <c r="J62" s="12" t="s">
        <v>194</v>
      </c>
    </row>
    <row r="63" spans="1:10" ht="38.25" x14ac:dyDescent="0.25">
      <c r="A63" s="2" t="s">
        <v>20</v>
      </c>
      <c r="B63" s="3" t="s">
        <v>166</v>
      </c>
      <c r="C63" s="4" t="str">
        <f>HYPERLINK("https://transparencia-area-fim.mpce.mp.br/#/consulta/processo/pastadigital/092022000409094","09.2022.00040909-4")</f>
        <v>09.2022.00040909-4</v>
      </c>
      <c r="D63" s="5">
        <v>45324</v>
      </c>
      <c r="E63" s="9" t="str">
        <f>HYPERLINK("https://www8.mpce.mp.br/Empenhos/150001/Objeto/41-2023.pdf","LOCAÇÃO DE IMÓVEIS ONDE FUNCIONAM AS PROMOTORIAS DE JUSTIÇA DE GUARACIABA DO NORTE, CONTRATO 041/2023/PGJ REFERENTE AO MES DE JAN/2024")</f>
        <v>LOCAÇÃO DE IMÓVEIS ONDE FUNCIONAM AS PROMOTORIAS DE JUSTIÇA DE GUARACIABA DO NORTE, CONTRATO 041/2023/PGJ REFERENTE AO MES DE JAN/2024</v>
      </c>
      <c r="F63" s="3" t="s">
        <v>172</v>
      </c>
      <c r="G63" s="6" t="str">
        <f>HYPERLINK("http://www8.mpce.mp.br/Empenhos/150501/NE/2024NE000069.pdf","2024NE000069")</f>
        <v>2024NE000069</v>
      </c>
      <c r="H63" s="7">
        <v>1550</v>
      </c>
      <c r="I63" s="8" t="s">
        <v>195</v>
      </c>
      <c r="J63" s="12" t="s">
        <v>196</v>
      </c>
    </row>
    <row r="64" spans="1:10" ht="38.25" x14ac:dyDescent="0.25">
      <c r="A64" s="2" t="s">
        <v>45</v>
      </c>
      <c r="B64" s="3" t="s">
        <v>179</v>
      </c>
      <c r="C64" s="4" t="str">
        <f>HYPERLINK("http://www8.mpce.mp.br/Dispensa/1955220197.pdf","19552/2019-7")</f>
        <v>19552/2019-7</v>
      </c>
      <c r="D64" s="5">
        <v>45324</v>
      </c>
      <c r="E64" s="9" t="str">
        <f>HYPERLINK("https://www8.mpce.mp.br/Empenhos/150001/Objeto/85-2019.pdf","LOCAÇAO DE IMÓVEL ONDE FUNCIONA AS PROMOTORIAS DE JUSTIÇA DE PARAIPABA REFERENTE AO MÊS DE JANEIRO/2024, CONFORME CONTRATO 85/2019.")</f>
        <v>LOCAÇAO DE IMÓVEL ONDE FUNCIONA AS PROMOTORIAS DE JUSTIÇA DE PARAIPABA REFERENTE AO MÊS DE JANEIRO/2024, CONFORME CONTRATO 85/2019.</v>
      </c>
      <c r="F64" s="3" t="s">
        <v>172</v>
      </c>
      <c r="G64" s="6" t="str">
        <f>HYPERLINK("http://www8.mpce.mp.br/Empenhos/150501/NE/2024NE000070.pdf","2024NE000070")</f>
        <v>2024NE000070</v>
      </c>
      <c r="H64" s="7">
        <v>1306.7</v>
      </c>
      <c r="I64" s="8" t="s">
        <v>197</v>
      </c>
      <c r="J64" s="12" t="s">
        <v>198</v>
      </c>
    </row>
    <row r="65" spans="1:10" ht="38.25" x14ac:dyDescent="0.25">
      <c r="A65" s="2" t="s">
        <v>20</v>
      </c>
      <c r="B65" s="3" t="s">
        <v>21</v>
      </c>
      <c r="C65" s="4" t="str">
        <f>HYPERLINK("https://transparencia-area-fim.mpce.mp.br/#/consulta/processo/pastadigital/092022000083885","09.2022.00008388-5")</f>
        <v>09.2022.00008388-5</v>
      </c>
      <c r="D65" s="5">
        <v>45324</v>
      </c>
      <c r="E65" s="9" t="str">
        <f>HYPERLINK("https://www8.mpce.mp.br/Empenhos/150001/Objeto/36-2023.pdf","LOCAÇÃO DE IMÓVEIS ONDE FUNCIONAM AS PROMOTORIAS DE JUSTIÇA DE SOLONÓPOLE, CONTRATO 036/2023/PGJ REFERENTE AO MES DE JAN/2024")</f>
        <v>LOCAÇÃO DE IMÓVEIS ONDE FUNCIONAM AS PROMOTORIAS DE JUSTIÇA DE SOLONÓPOLE, CONTRATO 036/2023/PGJ REFERENTE AO MES DE JAN/2024</v>
      </c>
      <c r="F65" s="3" t="s">
        <v>172</v>
      </c>
      <c r="G65" s="6" t="str">
        <f>HYPERLINK("http://www8.mpce.mp.br/Empenhos/150501/NE/2024NE000071.pdf","2024NE000071")</f>
        <v>2024NE000071</v>
      </c>
      <c r="H65" s="7">
        <v>3897.24</v>
      </c>
      <c r="I65" s="8" t="s">
        <v>199</v>
      </c>
      <c r="J65" s="12" t="s">
        <v>200</v>
      </c>
    </row>
    <row r="66" spans="1:10" ht="38.25" x14ac:dyDescent="0.25">
      <c r="A66" s="2" t="s">
        <v>45</v>
      </c>
      <c r="B66" s="3" t="s">
        <v>201</v>
      </c>
      <c r="C66" s="4" t="str">
        <f>HYPERLINK("https://transparencia-area-fim.mpce.mp.br/#/consulta/processo/pastadigital/092022000343829","09.2022.00034382-9")</f>
        <v>09.2022.00034382-9</v>
      </c>
      <c r="D66" s="5">
        <v>45324</v>
      </c>
      <c r="E66" s="9" t="str">
        <f>HYPERLINK("https://www8.mpce.mp.br/Empenhos/150001/Objeto/10-2023.pdf","	LOCAÇÃO DE IMÓVEL ONDE FUNCIONAM AS PROMOTORIAS DE ITPAPAJÉ-C3E, REF JANEIRO/2024 E CONFORME CONTRATO 10/202")</f>
        <v xml:space="preserve">	LOCAÇÃO DE IMÓVEL ONDE FUNCIONAM AS PROMOTORIAS DE ITPAPAJÉ-C3E, REF JANEIRO/2024 E CONFORME CONTRATO 10/202</v>
      </c>
      <c r="F66" s="3" t="s">
        <v>127</v>
      </c>
      <c r="G66" s="6" t="str">
        <f>HYPERLINK("http://www8.mpce.mp.br/Empenhos/150501/NE/2024NE000072.pdf","2024NE000072")</f>
        <v>2024NE000072</v>
      </c>
      <c r="H66" s="7">
        <v>13612</v>
      </c>
      <c r="I66" s="8" t="s">
        <v>140</v>
      </c>
      <c r="J66" s="12" t="s">
        <v>141</v>
      </c>
    </row>
    <row r="67" spans="1:10" ht="38.25" x14ac:dyDescent="0.25">
      <c r="A67" s="2" t="s">
        <v>45</v>
      </c>
      <c r="B67" s="3" t="s">
        <v>142</v>
      </c>
      <c r="C67" s="4" t="str">
        <f>HYPERLINK("https://transparencia-area-fim.mpce.mp.br/#/consulta/processo/pastadigital/092022000276145","09.2022.00027614-5")</f>
        <v>09.2022.00027614-5</v>
      </c>
      <c r="D67" s="5">
        <v>45324</v>
      </c>
      <c r="E67" s="9" t="str">
        <f>HYPERLINK("https://www8.mpce.mp.br/Empenhos/150001/Objeto/36-2022.pdf","LOCAÇÃO DE IMÓVEIS ONDE FUNCIONAM AS PROMOTORIAS DE JUSTIÇA DE ARARIPE, CONTRATO 036/2022/PGJ REFERENTE AO MES DE JAN/2024")</f>
        <v>LOCAÇÃO DE IMÓVEIS ONDE FUNCIONAM AS PROMOTORIAS DE JUSTIÇA DE ARARIPE, CONTRATO 036/2022/PGJ REFERENTE AO MES DE JAN/2024</v>
      </c>
      <c r="F67" s="3" t="s">
        <v>172</v>
      </c>
      <c r="G67" s="6" t="str">
        <f>HYPERLINK("http://www8.mpce.mp.br/Empenhos/150501/NE/2024NE000073.pdf","2024NE000073")</f>
        <v>2024NE000073</v>
      </c>
      <c r="H67" s="7">
        <v>1500</v>
      </c>
      <c r="I67" s="8" t="s">
        <v>202</v>
      </c>
      <c r="J67" s="12" t="s">
        <v>203</v>
      </c>
    </row>
    <row r="68" spans="1:10" ht="38.25" x14ac:dyDescent="0.25">
      <c r="A68" s="2" t="s">
        <v>45</v>
      </c>
      <c r="B68" s="3" t="s">
        <v>142</v>
      </c>
      <c r="C68" s="4" t="str">
        <f>HYPERLINK("https://transparencia-area-fim.mpce.mp.br/#/consulta/processo/pastadigital/092021000121226","09.2021.00012122-6")</f>
        <v>09.2021.00012122-6</v>
      </c>
      <c r="D68" s="5">
        <v>45324</v>
      </c>
      <c r="E68" s="9" t="str">
        <f>HYPERLINK("https://www8.mpce.mp.br/Empenhos/150001/Objeto/34-2021.pdf","LOCAÇÃO DE IMÓVEIS ONDE FUNCIONAM AS PROMOTORIAS DE JUSTIÇA DE SÃO BENEDITO, CONTRATO 034/2021/PGJ REFERENTE AO MES DE JAN/2024")</f>
        <v>LOCAÇÃO DE IMÓVEIS ONDE FUNCIONAM AS PROMOTORIAS DE JUSTIÇA DE SÃO BENEDITO, CONTRATO 034/2021/PGJ REFERENTE AO MES DE JAN/2024</v>
      </c>
      <c r="F68" s="3" t="s">
        <v>172</v>
      </c>
      <c r="G68" s="6" t="str">
        <f>HYPERLINK("http://www8.mpce.mp.br/Empenhos/150501/NE/2024NE000074.pdf","2024NE000074")</f>
        <v>2024NE000074</v>
      </c>
      <c r="H68" s="7">
        <v>2823.27</v>
      </c>
      <c r="I68" s="8" t="s">
        <v>204</v>
      </c>
      <c r="J68" s="12" t="s">
        <v>205</v>
      </c>
    </row>
    <row r="69" spans="1:10" ht="38.25" x14ac:dyDescent="0.25">
      <c r="A69" s="2" t="s">
        <v>20</v>
      </c>
      <c r="B69" s="3" t="s">
        <v>21</v>
      </c>
      <c r="C69" s="4" t="str">
        <f>HYPERLINK("https://transparencia-area-fim.mpce.mp.br/#/consulta/processo/pastadigital/092022000426227","09.2022.00042622-7")</f>
        <v>09.2022.00042622-7</v>
      </c>
      <c r="D69" s="5">
        <v>45324</v>
      </c>
      <c r="E69" s="9" t="str">
        <f>HYPERLINK("https://www8.mpce.mp.br/Empenhos/150001/Objeto/33-2023.pdf","LOCAÇÃO DE IMÓVEIS ONDE FUNCIONAM AS PROMOTORIAS DE JUSTIÇA DE JUCÁS, CONTRATO 033/2023/PGJ REFERENTE AO MES DE JAN/2024")</f>
        <v>LOCAÇÃO DE IMÓVEIS ONDE FUNCIONAM AS PROMOTORIAS DE JUSTIÇA DE JUCÁS, CONTRATO 033/2023/PGJ REFERENTE AO MES DE JAN/2024</v>
      </c>
      <c r="F69" s="3" t="s">
        <v>172</v>
      </c>
      <c r="G69" s="6" t="str">
        <f>HYPERLINK("http://www8.mpce.mp.br/Empenhos/150501/NE/2024NE000075.pdf","2024NE000075")</f>
        <v>2024NE000075</v>
      </c>
      <c r="H69" s="7">
        <v>2500</v>
      </c>
      <c r="I69" s="8" t="s">
        <v>206</v>
      </c>
      <c r="J69" s="12" t="s">
        <v>207</v>
      </c>
    </row>
    <row r="70" spans="1:10" ht="38.25" x14ac:dyDescent="0.25">
      <c r="A70" s="2" t="s">
        <v>45</v>
      </c>
      <c r="B70" s="3" t="s">
        <v>142</v>
      </c>
      <c r="C70" s="4" t="str">
        <f>HYPERLINK("https://transparencia-area-fim.mpce.mp.br/#/consulta/processo/pastadigital/092022000091296","09.2022.00009129-6")</f>
        <v>09.2022.00009129-6</v>
      </c>
      <c r="D70" s="5">
        <v>45324</v>
      </c>
      <c r="E70" s="9" t="str">
        <f>HYPERLINK("https://www8.mpce.mp.br/Empenhos/150001/Objeto/33-2022.pdf","LOCAÇÃO DE IMÓVEIS ONDE FUNCIONAM AS PROMOTORIAS DE JUSTIÇA DE VÁRZEA ALEGRE, CONTRATO 033/2022/PGJ REFERENTE AO MES DE JAN/2024")</f>
        <v>LOCAÇÃO DE IMÓVEIS ONDE FUNCIONAM AS PROMOTORIAS DE JUSTIÇA DE VÁRZEA ALEGRE, CONTRATO 033/2022/PGJ REFERENTE AO MES DE JAN/2024</v>
      </c>
      <c r="F70" s="3" t="s">
        <v>172</v>
      </c>
      <c r="G70" s="6" t="str">
        <f>HYPERLINK("http://www8.mpce.mp.br/Empenhos/150501/NE/2024NE000076.pdf","2024NE000076")</f>
        <v>2024NE000076</v>
      </c>
      <c r="H70" s="7">
        <v>800</v>
      </c>
      <c r="I70" s="8" t="s">
        <v>208</v>
      </c>
      <c r="J70" s="12" t="s">
        <v>209</v>
      </c>
    </row>
    <row r="71" spans="1:10" ht="38.25" x14ac:dyDescent="0.25">
      <c r="A71" s="2" t="s">
        <v>45</v>
      </c>
      <c r="B71" s="3" t="s">
        <v>161</v>
      </c>
      <c r="C71" s="4" t="str">
        <f>HYPERLINK("http://www8.mpce.mp.br/Dispensa/862520178.pdf","8625/20178")</f>
        <v>8625/20178</v>
      </c>
      <c r="D71" s="5">
        <v>45324</v>
      </c>
      <c r="E71" s="9" t="str">
        <f>HYPERLINK("https://www8.mpce.mp.br/Empenhos/150001/Objeto/31-2017.pdf","LOCAÇÃO DE IMÓVEIS ONDE FUNCIONAM AS PROMOTORIAS DE JUSTIÇA DE CANINDÉ, CONTRATO 031/2017/PGJ REFERENTE AO MES DE JAN/2024")</f>
        <v>LOCAÇÃO DE IMÓVEIS ONDE FUNCIONAM AS PROMOTORIAS DE JUSTIÇA DE CANINDÉ, CONTRATO 031/2017/PGJ REFERENTE AO MES DE JAN/2024</v>
      </c>
      <c r="F71" s="3" t="s">
        <v>172</v>
      </c>
      <c r="G71" s="6" t="str">
        <f>HYPERLINK("http://www8.mpce.mp.br/Empenhos/150501/NE/2024NE000077.pdf","2024NE000077")</f>
        <v>2024NE000077</v>
      </c>
      <c r="H71" s="7">
        <v>1080.22</v>
      </c>
      <c r="I71" s="8" t="s">
        <v>210</v>
      </c>
      <c r="J71" s="12" t="s">
        <v>211</v>
      </c>
    </row>
    <row r="72" spans="1:10" ht="38.25" x14ac:dyDescent="0.25">
      <c r="A72" s="2" t="s">
        <v>45</v>
      </c>
      <c r="B72" s="3" t="s">
        <v>142</v>
      </c>
      <c r="C72" s="4" t="str">
        <f>HYPERLINK("https://transparencia-area-fim.mpce.mp.br/#/consulta/processo/pastadigital/092022000264193","09.2022.00026419-3")</f>
        <v>09.2022.00026419-3</v>
      </c>
      <c r="D72" s="5">
        <v>45324</v>
      </c>
      <c r="E72" s="9" t="str">
        <f>HYPERLINK("https://www8.mpce.mp.br/Empenhos/150001/Objeto/28-2022.pdf","LOCAÇÃO DE IMÓVEIS ONDE FUNCIONAM AS PROMOTORIAS DE JUSTIÇA DE AURORA, CONTRATO 028/2022/PGJ REFERENTE AO MES DE JAN/2024")</f>
        <v>LOCAÇÃO DE IMÓVEIS ONDE FUNCIONAM AS PROMOTORIAS DE JUSTIÇA DE AURORA, CONTRATO 028/2022/PGJ REFERENTE AO MES DE JAN/2024</v>
      </c>
      <c r="F72" s="3" t="s">
        <v>172</v>
      </c>
      <c r="G72" s="6" t="str">
        <f>HYPERLINK("http://www8.mpce.mp.br/Empenhos/150501/NE/2024NE000078.pdf","2024NE000078")</f>
        <v>2024NE000078</v>
      </c>
      <c r="H72" s="7">
        <v>2000</v>
      </c>
      <c r="I72" s="8" t="s">
        <v>212</v>
      </c>
      <c r="J72" s="12" t="s">
        <v>213</v>
      </c>
    </row>
    <row r="73" spans="1:10" ht="38.25" x14ac:dyDescent="0.25">
      <c r="A73" s="2" t="s">
        <v>45</v>
      </c>
      <c r="B73" s="3" t="s">
        <v>161</v>
      </c>
      <c r="C73" s="4" t="str">
        <f>HYPERLINK("https://transparencia-area-fim.mpce.mp.br/#/consulta/processo/pastadigital/092021000155016","09.2021.00015501-6")</f>
        <v>09.2021.00015501-6</v>
      </c>
      <c r="D73" s="5">
        <v>45324</v>
      </c>
      <c r="E73" s="9" t="str">
        <f>HYPERLINK("https://www8.mpce.mp.br/Empenhos/150001/Objeto/26-2021.pdf","LOCAÇÃO DE IMÓVEIS ONDE FUNCIONAM AS PROMOTORIAS DE JUSTIÇA DE BREJO SANTO, CONTRATO 026/2021/PGJ REFERENTE AO MES DE JAN/2024")</f>
        <v>LOCAÇÃO DE IMÓVEIS ONDE FUNCIONAM AS PROMOTORIAS DE JUSTIÇA DE BREJO SANTO, CONTRATO 026/2021/PGJ REFERENTE AO MES DE JAN/2024</v>
      </c>
      <c r="F73" s="3" t="s">
        <v>172</v>
      </c>
      <c r="G73" s="6" t="str">
        <f>HYPERLINK("http://www8.mpce.mp.br/Empenhos/150501/NE/2024NE000079.pdf","2024NE000079")</f>
        <v>2024NE000079</v>
      </c>
      <c r="H73" s="7">
        <v>2601.5500000000002</v>
      </c>
      <c r="I73" s="8" t="s">
        <v>214</v>
      </c>
      <c r="J73" s="12" t="s">
        <v>215</v>
      </c>
    </row>
    <row r="74" spans="1:10" ht="38.25" x14ac:dyDescent="0.25">
      <c r="A74" s="2" t="s">
        <v>45</v>
      </c>
      <c r="B74" s="3" t="s">
        <v>161</v>
      </c>
      <c r="C74" s="4" t="str">
        <f>HYPERLINK("http://www8.mpce.mp.br/Dispensa/3642820165.pdf","36428/2016-5")</f>
        <v>36428/2016-5</v>
      </c>
      <c r="D74" s="5">
        <v>45324</v>
      </c>
      <c r="E74" s="9" t="str">
        <f>HYPERLINK("https://www8.mpce.mp.br/Empenhos/150001/Objeto/26-2017.pdf","LOCAÇÃO DE IMÓVEIS ONDE FUNCIONAM AS PROMOTORIAS DE JUSTIÇA DE MARANGUAPE, CONTRATO 026/2017/PGJ REFERENTE AO MES DE JAN/2024")</f>
        <v>LOCAÇÃO DE IMÓVEIS ONDE FUNCIONAM AS PROMOTORIAS DE JUSTIÇA DE MARANGUAPE, CONTRATO 026/2017/PGJ REFERENTE AO MES DE JAN/2024</v>
      </c>
      <c r="F74" s="3" t="s">
        <v>172</v>
      </c>
      <c r="G74" s="6" t="str">
        <f>HYPERLINK("http://www8.mpce.mp.br/Empenhos/150501/NE/2024NE000080.pdf","2024NE000080")</f>
        <v>2024NE000080</v>
      </c>
      <c r="H74" s="7">
        <v>4827.58</v>
      </c>
      <c r="I74" s="8" t="s">
        <v>216</v>
      </c>
      <c r="J74" s="12" t="s">
        <v>217</v>
      </c>
    </row>
    <row r="75" spans="1:10" ht="38.25" x14ac:dyDescent="0.25">
      <c r="A75" s="2" t="s">
        <v>45</v>
      </c>
      <c r="B75" s="3" t="s">
        <v>142</v>
      </c>
      <c r="C75" s="4" t="str">
        <f>HYPERLINK("https://transparencia-area-fim.mpce.mp.br/#/consulta/processo/pastadigital/092021000047808","09.2021.00004780-8")</f>
        <v>09.2021.00004780-8</v>
      </c>
      <c r="D75" s="5">
        <v>45324</v>
      </c>
      <c r="E75" s="9" t="str">
        <f>HYPERLINK("https://www8.mpce.mp.br/Empenhos/150001/Objeto/25-2021.pdf","LOCAÇÃO DE IMÓVEIS ONDE FUNCIONAM AS PROMOTORIAS DE JUSTIÇA DE ALTO SANTO, CONTRATO 025/2021/PGJ REFERENTE AO MES DE JAN/2024")</f>
        <v>LOCAÇÃO DE IMÓVEIS ONDE FUNCIONAM AS PROMOTORIAS DE JUSTIÇA DE ALTO SANTO, CONTRATO 025/2021/PGJ REFERENTE AO MES DE JAN/2024</v>
      </c>
      <c r="F75" s="3" t="s">
        <v>172</v>
      </c>
      <c r="G75" s="6" t="str">
        <f>HYPERLINK("http://www8.mpce.mp.br/Empenhos/150501/NE/2024NE000081.pdf","2024NE000081")</f>
        <v>2024NE000081</v>
      </c>
      <c r="H75" s="7">
        <v>1651.15</v>
      </c>
      <c r="I75" s="8" t="s">
        <v>218</v>
      </c>
      <c r="J75" s="12" t="s">
        <v>219</v>
      </c>
    </row>
    <row r="76" spans="1:10" ht="38.25" x14ac:dyDescent="0.25">
      <c r="A76" s="2" t="s">
        <v>45</v>
      </c>
      <c r="B76" s="3" t="s">
        <v>142</v>
      </c>
      <c r="C76" s="4" t="str">
        <f>HYPERLINK("https://transparencia-area-fim.mpce.mp.br/#/consulta/processo/pastadigital/092021000166790","09.2021.00016679-0")</f>
        <v>09.2021.00016679-0</v>
      </c>
      <c r="D76" s="5">
        <v>45324</v>
      </c>
      <c r="E76" s="9" t="str">
        <f>HYPERLINK("https://www8.mpce.mp.br/Empenhos/150001/Objeto/24-2022.pdf","LOCAÇÃO DE IMÓVEIS ONDE FUNCIONAM AS PROMOTORIAS DE JUSTIÇA DE HORIZONTE, CONTRATO 024/2022/PGJ REFERENTE AO MES DE JAN/2024")</f>
        <v>LOCAÇÃO DE IMÓVEIS ONDE FUNCIONAM AS PROMOTORIAS DE JUSTIÇA DE HORIZONTE, CONTRATO 024/2022/PGJ REFERENTE AO MES DE JAN/2024</v>
      </c>
      <c r="F76" s="3" t="s">
        <v>172</v>
      </c>
      <c r="G76" s="6" t="str">
        <f>HYPERLINK("http://www8.mpce.mp.br/Empenhos/150501/NE/2024NE000082.pdf","2024NE000082")</f>
        <v>2024NE000082</v>
      </c>
      <c r="H76" s="7">
        <v>2400</v>
      </c>
      <c r="I76" s="8" t="s">
        <v>220</v>
      </c>
      <c r="J76" s="12" t="s">
        <v>221</v>
      </c>
    </row>
    <row r="77" spans="1:10" ht="38.25" x14ac:dyDescent="0.25">
      <c r="A77" s="2" t="s">
        <v>45</v>
      </c>
      <c r="B77" s="3" t="s">
        <v>142</v>
      </c>
      <c r="C77" s="4" t="str">
        <f>HYPERLINK("http://www8.mpce.mp.br/Dispensa/575920103.pdf","5759/2010-3")</f>
        <v>5759/2010-3</v>
      </c>
      <c r="D77" s="5">
        <v>45324</v>
      </c>
      <c r="E77" s="9" t="str">
        <f>HYPERLINK("https://www8.mpce.mp.br/Empenhos/150001/Objeto/22-2010.pdf","LOCAÇÃO DE IMÓVEIS ONDE FUNCIONAM AS PROMOTORIAS DE JUSTIÇA DE GUAIÚBA, CONTRATO 022/2010/PGJ REFERENTE AO MES DE JAN/2024")</f>
        <v>LOCAÇÃO DE IMÓVEIS ONDE FUNCIONAM AS PROMOTORIAS DE JUSTIÇA DE GUAIÚBA, CONTRATO 022/2010/PGJ REFERENTE AO MES DE JAN/2024</v>
      </c>
      <c r="F77" s="3" t="s">
        <v>172</v>
      </c>
      <c r="G77" s="6" t="str">
        <f>HYPERLINK("http://www8.mpce.mp.br/Empenhos/150501/NE/2024NE000083.pdf","2024NE000083")</f>
        <v>2024NE000083</v>
      </c>
      <c r="H77" s="7">
        <v>2341.9699999999998</v>
      </c>
      <c r="I77" s="8" t="s">
        <v>222</v>
      </c>
      <c r="J77" s="12" t="s">
        <v>223</v>
      </c>
    </row>
    <row r="78" spans="1:10" ht="38.25" x14ac:dyDescent="0.25">
      <c r="A78" s="2" t="s">
        <v>45</v>
      </c>
      <c r="B78" s="3" t="s">
        <v>161</v>
      </c>
      <c r="C78" s="4" t="str">
        <f>HYPERLINK("http://www8.mpce.mp.br/Dispensa/3657120162.pdf","3657120162")</f>
        <v>3657120162</v>
      </c>
      <c r="D78" s="5">
        <v>45324</v>
      </c>
      <c r="E78" s="9" t="str">
        <f>HYPERLINK("https://www8.mpce.mp.br/Empenhos/150001/Objeto/12-2017.pdf","LOCAÇÃO DE IMÓVEIS ONDE FUNCIONAM AS PROMOTORIAS DE JUSTIÇA DE JUAZEIRO DO NORTE, CONTRATO 012/2017/PGJ REFERENTE AO MES DE JAN/2024")</f>
        <v>LOCAÇÃO DE IMÓVEIS ONDE FUNCIONAM AS PROMOTORIAS DE JUSTIÇA DE JUAZEIRO DO NORTE, CONTRATO 012/2017/PGJ REFERENTE AO MES DE JAN/2024</v>
      </c>
      <c r="F78" s="3" t="s">
        <v>172</v>
      </c>
      <c r="G78" s="6" t="str">
        <f>HYPERLINK("http://www8.mpce.mp.br/Empenhos/150501/NE/2024NE000084.pdf","2024NE000084")</f>
        <v>2024NE000084</v>
      </c>
      <c r="H78" s="7">
        <v>2022.03</v>
      </c>
      <c r="I78" s="8" t="s">
        <v>224</v>
      </c>
      <c r="J78" s="12" t="s">
        <v>225</v>
      </c>
    </row>
    <row r="79" spans="1:10" ht="38.25" x14ac:dyDescent="0.25">
      <c r="A79" s="2" t="s">
        <v>45</v>
      </c>
      <c r="B79" s="3" t="s">
        <v>142</v>
      </c>
      <c r="C79" s="4" t="str">
        <f>HYPERLINK("http://www8.mpce.mp.br/Dispensa/4572720144.pdf","45727/2014-4")</f>
        <v>45727/2014-4</v>
      </c>
      <c r="D79" s="5">
        <v>45324</v>
      </c>
      <c r="E79" s="9" t="str">
        <f>HYPERLINK("https://www8.mpce.mp.br/Empenhos/150001/Objeto/01-2015.pdf","LOCAÇÃO DE IMÓVEIS ONDE FUNCIONAM AS PROMOTORIAS DE JUSTIÇA DE JUAZEIRO DO NORTE, CONTRATO 001/2015/PGJ REFERENTE AO MES DE JAN/2024")</f>
        <v>LOCAÇÃO DE IMÓVEIS ONDE FUNCIONAM AS PROMOTORIAS DE JUSTIÇA DE JUAZEIRO DO NORTE, CONTRATO 001/2015/PGJ REFERENTE AO MES DE JAN/2024</v>
      </c>
      <c r="F79" s="3" t="s">
        <v>127</v>
      </c>
      <c r="G79" s="6" t="str">
        <f>HYPERLINK("http://www8.mpce.mp.br/Empenhos/150501/NE/2024NE000085.pdf","2024NE000085")</f>
        <v>2024NE000085</v>
      </c>
      <c r="H79" s="7">
        <v>32762.63</v>
      </c>
      <c r="I79" s="8" t="s">
        <v>226</v>
      </c>
      <c r="J79" s="12" t="s">
        <v>227</v>
      </c>
    </row>
    <row r="80" spans="1:10" ht="38.25" x14ac:dyDescent="0.25">
      <c r="A80" s="2" t="s">
        <v>45</v>
      </c>
      <c r="B80" s="3" t="s">
        <v>147</v>
      </c>
      <c r="C80" s="4" t="str">
        <f>HYPERLINK("https://transparencia-area-fim.mpce.mp.br/#/consulta/processo/pastadigital/092021000244550","09.2021.00024455-0")</f>
        <v>09.2021.00024455-0</v>
      </c>
      <c r="D80" s="5">
        <v>45324</v>
      </c>
      <c r="E80" s="9" t="str">
        <f>HYPERLINK("https://www8.mpce.mp.br/Empenhos/150001/Objeto/10-2022.pdf","ALUGUEL DO IMÓVEL ONDE FUNCIONAM AS PROMOTORIAS DE ICÓ-CE REF MÊS DE JANEIRO CONFORME CONTRATO 010/2022..")</f>
        <v>ALUGUEL DO IMÓVEL ONDE FUNCIONAM AS PROMOTORIAS DE ICÓ-CE REF MÊS DE JANEIRO CONFORME CONTRATO 010/2022..</v>
      </c>
      <c r="F80" s="3" t="s">
        <v>172</v>
      </c>
      <c r="G80" s="6" t="str">
        <f>HYPERLINK("http://www8.mpce.mp.br/Empenhos/150501/NE/2024NE000086.pdf","2024NE000086")</f>
        <v>2024NE000086</v>
      </c>
      <c r="H80" s="7">
        <v>13486.5</v>
      </c>
      <c r="I80" s="8" t="s">
        <v>228</v>
      </c>
      <c r="J80" s="12" t="s">
        <v>229</v>
      </c>
    </row>
    <row r="81" spans="1:10" ht="38.25" x14ac:dyDescent="0.25">
      <c r="A81" s="2" t="s">
        <v>45</v>
      </c>
      <c r="B81" s="3" t="s">
        <v>142</v>
      </c>
      <c r="C81" s="4" t="str">
        <f>HYPERLINK("http://www8.mpce.mp.br/Dispensa/0013520168.pdf","00135/2016-8")</f>
        <v>00135/2016-8</v>
      </c>
      <c r="D81" s="5">
        <v>45327</v>
      </c>
      <c r="E81" s="9" t="str">
        <f>HYPERLINK("https://www8.mpce.mp.br/Empenhos/150001/Objeto/09-2016.pdf","LOCAÇÃO DE IMÓVEIS ONDE FUNCIONAM AS PROMOTORIAS DE JUSTIÇA DE CANINDÉ, CONTRATO 009/2016/PGJ REFERENTE AO MES DE JAN/2024")</f>
        <v>LOCAÇÃO DE IMÓVEIS ONDE FUNCIONAM AS PROMOTORIAS DE JUSTIÇA DE CANINDÉ, CONTRATO 009/2016/PGJ REFERENTE AO MES DE JAN/2024</v>
      </c>
      <c r="F81" s="3" t="s">
        <v>172</v>
      </c>
      <c r="G81" s="6" t="str">
        <f>HYPERLINK("http://www8.mpce.mp.br/Empenhos/150501/NE/2024NE000087.pdf","2024NE000087")</f>
        <v>2024NE000087</v>
      </c>
      <c r="H81" s="7">
        <v>1685.82</v>
      </c>
      <c r="I81" s="8" t="s">
        <v>210</v>
      </c>
      <c r="J81" s="12" t="s">
        <v>211</v>
      </c>
    </row>
    <row r="82" spans="1:10" ht="38.25" x14ac:dyDescent="0.25">
      <c r="A82" s="2" t="s">
        <v>45</v>
      </c>
      <c r="B82" s="3" t="s">
        <v>142</v>
      </c>
      <c r="C82" s="4" t="str">
        <f>HYPERLINK("http://www8.mpce.mp.br/Dispensa/6795020160.pdf","6795020160")</f>
        <v>6795020160</v>
      </c>
      <c r="D82" s="5">
        <v>45327</v>
      </c>
      <c r="E82" s="9" t="str">
        <f>HYPERLINK("https://www8.mpce.mp.br/Empenhos/150001/Objeto/08-2017.pdf","LOCAÇÃO DE IMÓVEIS ONDE FUNCIONAM AS PROMOTORIAS DE JUSTIÇA DE JARDIM, CONTRATO 008/2017/PGJ REFERENTE AO MES DE JAN/2024")</f>
        <v>LOCAÇÃO DE IMÓVEIS ONDE FUNCIONAM AS PROMOTORIAS DE JUSTIÇA DE JARDIM, CONTRATO 008/2017/PGJ REFERENTE AO MES DE JAN/2024</v>
      </c>
      <c r="F82" s="3" t="s">
        <v>172</v>
      </c>
      <c r="G82" s="6" t="str">
        <f>HYPERLINK("http://www8.mpce.mp.br/Empenhos/150501/NE/2024NE000088.pdf","2024NE000088")</f>
        <v>2024NE000088</v>
      </c>
      <c r="H82" s="7">
        <v>680.03</v>
      </c>
      <c r="I82" s="8" t="s">
        <v>230</v>
      </c>
      <c r="J82" s="12" t="s">
        <v>231</v>
      </c>
    </row>
    <row r="83" spans="1:10" ht="38.25" x14ac:dyDescent="0.25">
      <c r="A83" s="2" t="s">
        <v>45</v>
      </c>
      <c r="B83" s="3" t="s">
        <v>142</v>
      </c>
      <c r="C83" s="4" t="str">
        <f>HYPERLINK("http://www8.mpce.mp.br/Dispensa/3103320192.pdf","31033/2019-2")</f>
        <v>31033/2019-2</v>
      </c>
      <c r="D83" s="5">
        <v>45327</v>
      </c>
      <c r="E83" s="9" t="str">
        <f>HYPERLINK("https://www8.mpce.mp.br/Empenhos/150001/Objeto/04-2020.pdf","LOCAÇÃO DE IMÓVEIS ONDE FUNCIONAM AS PROMOTORIAS DE JUSTIÇA DE BATURITÉ, CONTRATO 004/2020/PGJ REFERENTE AO MES DE JAN/2024")</f>
        <v>LOCAÇÃO DE IMÓVEIS ONDE FUNCIONAM AS PROMOTORIAS DE JUSTIÇA DE BATURITÉ, CONTRATO 004/2020/PGJ REFERENTE AO MES DE JAN/2024</v>
      </c>
      <c r="F83" s="3" t="s">
        <v>172</v>
      </c>
      <c r="G83" s="6" t="str">
        <f>HYPERLINK("http://www8.mpce.mp.br/Empenhos/150501/NE/2024NE000089.pdf","2024NE000089")</f>
        <v>2024NE000089</v>
      </c>
      <c r="H83" s="7">
        <v>2000</v>
      </c>
      <c r="I83" s="8" t="s">
        <v>232</v>
      </c>
      <c r="J83" s="12" t="s">
        <v>233</v>
      </c>
    </row>
    <row r="84" spans="1:10" ht="51" x14ac:dyDescent="0.25">
      <c r="A84" s="2" t="s">
        <v>45</v>
      </c>
      <c r="B84" s="3" t="s">
        <v>142</v>
      </c>
      <c r="C84" s="4" t="str">
        <f>HYPERLINK("http://www8.mpce.mp.br/Dispensa/3657120162.pdf","3657120162")</f>
        <v>3657120162</v>
      </c>
      <c r="D84" s="5">
        <v>45327</v>
      </c>
      <c r="E84" s="9" t="str">
        <f>HYPERLINK("https://www8.mpce.mp.br/Empenhos/150001/Objeto/12-2017.pdf","TAXAS CONDOMINIAIS DOS IMÓVEIS ONDE FUNCIONAM AS PROMOTORIAS DE JUSTIÇA DE JUAZEIRO DO NORTE, CONTRATO 012/2017/PGJ REFERENTE AO MES DE JAN, FEV E MAR/2024 - POR ESTIMATIVA")</f>
        <v>TAXAS CONDOMINIAIS DOS IMÓVEIS ONDE FUNCIONAM AS PROMOTORIAS DE JUSTIÇA DE JUAZEIRO DO NORTE, CONTRATO 012/2017/PGJ REFERENTE AO MES DE JAN, FEV E MAR/2024 - POR ESTIMATIVA</v>
      </c>
      <c r="F84" s="3" t="s">
        <v>234</v>
      </c>
      <c r="G84" s="6" t="str">
        <f>HYPERLINK("http://www8.mpce.mp.br/Empenhos/150501/NE/2024NE000090.pdf","2024NE000090")</f>
        <v>2024NE000090</v>
      </c>
      <c r="H84" s="7">
        <v>2280</v>
      </c>
      <c r="I84" s="8" t="s">
        <v>224</v>
      </c>
      <c r="J84" s="12" t="s">
        <v>225</v>
      </c>
    </row>
    <row r="85" spans="1:10" ht="38.25" x14ac:dyDescent="0.25">
      <c r="A85" s="2" t="s">
        <v>45</v>
      </c>
      <c r="B85" s="3" t="s">
        <v>130</v>
      </c>
      <c r="C85" s="4" t="str">
        <f>HYPERLINK("https://transparencia-area-fim.mpce.mp.br/#/consulta/processo/pastadigital/092021000079244","09.2021.00007924-4")</f>
        <v>09.2021.00007924-4</v>
      </c>
      <c r="D85" s="5">
        <v>45327</v>
      </c>
      <c r="E85" s="9" t="str">
        <f>HYPERLINK("https://www8.mpce.mp.br/Empenhos/150001/Objeto/27-2021.pdf","LOCAÇÃO DE IMÓVEIS ONDE FUNCIONAM AS PROMOTORIAS DE EUSÉBIO-CE, REFERENTE AO MÊS DE JANEIRO/2024, CONTRATO 027/2021.")</f>
        <v>LOCAÇÃO DE IMÓVEIS ONDE FUNCIONAM AS PROMOTORIAS DE EUSÉBIO-CE, REFERENTE AO MÊS DE JANEIRO/2024, CONTRATO 027/2021.</v>
      </c>
      <c r="F85" s="3" t="s">
        <v>127</v>
      </c>
      <c r="G85" s="6" t="str">
        <f>HYPERLINK("http://www8.mpce.mp.br/Empenhos/150501/NE/2024NE000091.pdf","2024NE000091")</f>
        <v>2024NE000091</v>
      </c>
      <c r="H85" s="7">
        <v>5546.1</v>
      </c>
      <c r="I85" s="8" t="s">
        <v>155</v>
      </c>
      <c r="J85" s="12" t="s">
        <v>156</v>
      </c>
    </row>
    <row r="86" spans="1:10" ht="51" x14ac:dyDescent="0.25">
      <c r="A86" s="2" t="s">
        <v>45</v>
      </c>
      <c r="B86" s="3" t="s">
        <v>235</v>
      </c>
      <c r="C86" s="4" t="str">
        <f>HYPERLINK("https://transparencia-area-fim.mpce.mp.br/#/consulta/processo/pastadigital/092022000120475","09.2022.00012047-5")</f>
        <v>09.2022.00012047-5</v>
      </c>
      <c r="D86" s="5">
        <v>45322</v>
      </c>
      <c r="E86" s="9" t="str">
        <f>HYPERLINK("https://www8.mpce.mp.br/Empenhos/150001/Objeto/54-2022.pdf","SERVIÇOS DE INFORMAÇÕES DE CRÉDITOS, REF A CONSULTAS DE DADOS CADASTRAIS DE AMBITO NACIONAL, REF COMPETENCIA DE JANEIRO DE 2024 CONFORME CONTRATO 54/2022.")</f>
        <v>SERVIÇOS DE INFORMAÇÕES DE CRÉDITOS, REF A CONSULTAS DE DADOS CADASTRAIS DE AMBITO NACIONAL, REF COMPETENCIA DE JANEIRO DE 2024 CONFORME CONTRATO 54/2022.</v>
      </c>
      <c r="F86" s="3" t="s">
        <v>236</v>
      </c>
      <c r="G86" s="6" t="str">
        <f>HYPERLINK("http://www8.mpce.mp.br/Empenhos/150001/NE/2024NE000092.pdf","2024NE000092")</f>
        <v>2024NE000092</v>
      </c>
      <c r="H86" s="7">
        <v>17000</v>
      </c>
      <c r="I86" s="8" t="s">
        <v>237</v>
      </c>
      <c r="J86" s="12" t="s">
        <v>238</v>
      </c>
    </row>
    <row r="87" spans="1:10" ht="51" x14ac:dyDescent="0.25">
      <c r="A87" s="2" t="s">
        <v>45</v>
      </c>
      <c r="B87" s="3" t="s">
        <v>142</v>
      </c>
      <c r="C87" s="4" t="str">
        <f>HYPERLINK("http://www8.mpce.mp.br/Dispensa/2398120192.pdf","23981/2019-2")</f>
        <v>23981/2019-2</v>
      </c>
      <c r="D87" s="5">
        <v>45327</v>
      </c>
      <c r="E87" s="9" t="str">
        <f>HYPERLINK("https://www8.mpce.mp.br/Empenhos/150001/Objeto/63-2019.pdf","TAXAS CONDOMINIAIS DOS IMÓVEIS ONDE FUNCIONAM AS PROMOTORIAS DE JUSTIÇA DE JUAZEIRO DO NORTE, CONTRATO 063/2019/PGJ REFERENTE AO MES DE JAN, FEV E MAR/2024 - POR ESTIMATIVA")</f>
        <v>TAXAS CONDOMINIAIS DOS IMÓVEIS ONDE FUNCIONAM AS PROMOTORIAS DE JUSTIÇA DE JUAZEIRO DO NORTE, CONTRATO 063/2019/PGJ REFERENTE AO MES DE JAN, FEV E MAR/2024 - POR ESTIMATIVA</v>
      </c>
      <c r="F87" s="3" t="s">
        <v>234</v>
      </c>
      <c r="G87" s="6" t="str">
        <f>HYPERLINK("http://www8.mpce.mp.br/Empenhos/150501/NE/2024NE000092.pdf","2024NE000092")</f>
        <v>2024NE000092</v>
      </c>
      <c r="H87" s="7">
        <v>1140</v>
      </c>
      <c r="I87" s="8" t="s">
        <v>177</v>
      </c>
      <c r="J87" s="12" t="s">
        <v>178</v>
      </c>
    </row>
    <row r="88" spans="1:10" ht="38.25" x14ac:dyDescent="0.25">
      <c r="A88" s="2" t="s">
        <v>45</v>
      </c>
      <c r="B88" s="3" t="s">
        <v>239</v>
      </c>
      <c r="C88" s="4" t="str">
        <f>HYPERLINK("https://transparencia-area-fim.mpce.mp.br/#/consulta/processo/pastadigital/092022000110511","09.2022.00011051-1")</f>
        <v>09.2022.00011051-1</v>
      </c>
      <c r="D88" s="5">
        <v>45327</v>
      </c>
      <c r="E88" s="9" t="str">
        <f>HYPERLINK("https://www8.mpce.mp.br/Empenhos/150001/Objeto/38-2022.pdf","LOCAÇÃO DE IMÓVEL ONDE FUNCIONAM AS PROMOTORIAS DE NOVA OLINDA, CONFORME CONTRATO 038/2022,REFERENTE AO MES DE JANEIRO/2024.")</f>
        <v>LOCAÇÃO DE IMÓVEL ONDE FUNCIONAM AS PROMOTORIAS DE NOVA OLINDA, CONFORME CONTRATO 038/2022,REFERENTE AO MES DE JANEIRO/2024.</v>
      </c>
      <c r="F88" s="3" t="s">
        <v>172</v>
      </c>
      <c r="G88" s="6" t="str">
        <f>HYPERLINK("http://www8.mpce.mp.br/Empenhos/150501/NE/2024NE000093.pdf","2024NE000093")</f>
        <v>2024NE000093</v>
      </c>
      <c r="H88" s="7">
        <v>2000</v>
      </c>
      <c r="I88" s="8" t="s">
        <v>240</v>
      </c>
      <c r="J88" s="12" t="s">
        <v>241</v>
      </c>
    </row>
    <row r="89" spans="1:10" ht="51" x14ac:dyDescent="0.25">
      <c r="A89" s="2" t="s">
        <v>45</v>
      </c>
      <c r="B89" s="3" t="s">
        <v>142</v>
      </c>
      <c r="C89" s="4" t="str">
        <f>HYPERLINK("https://transparencia-area-fim.mpce.mp.br/#/consulta/processo/pastadigital/092021000079244","09.2021.00007924-4")</f>
        <v>09.2021.00007924-4</v>
      </c>
      <c r="D89" s="5">
        <v>45327</v>
      </c>
      <c r="E89" s="9" t="str">
        <f>HYPERLINK("https://www8.mpce.mp.br/Empenhos/150001/Objeto/27-2021.pdf","TAXAS CONDOMINIAIS DOS IMÓVEIS ONDE FUNCIONAM AS PROMOTORIAS DE JUSTIÇA DE EUSÉBIO, CONTRATO 027/2021/PGJ REFERENTE AO MES DE JAN, FEV E MAR/2024 - POR ESTIMATIVA")</f>
        <v>TAXAS CONDOMINIAIS DOS IMÓVEIS ONDE FUNCIONAM AS PROMOTORIAS DE JUSTIÇA DE EUSÉBIO, CONTRATO 027/2021/PGJ REFERENTE AO MES DE JAN, FEV E MAR/2024 - POR ESTIMATIVA</v>
      </c>
      <c r="F89" s="3" t="s">
        <v>242</v>
      </c>
      <c r="G89" s="6" t="str">
        <f>HYPERLINK("http://www8.mpce.mp.br/Empenhos/150501/NE/2024NE000094.pdf","2024NE000094")</f>
        <v>2024NE000094</v>
      </c>
      <c r="H89" s="7">
        <v>4463.6400000000003</v>
      </c>
      <c r="I89" s="8" t="s">
        <v>155</v>
      </c>
      <c r="J89" s="12" t="s">
        <v>156</v>
      </c>
    </row>
    <row r="90" spans="1:10" ht="51" x14ac:dyDescent="0.25">
      <c r="A90" s="2" t="s">
        <v>45</v>
      </c>
      <c r="B90" s="3" t="s">
        <v>142</v>
      </c>
      <c r="C90" s="4" t="str">
        <f>HYPERLINK("http://www8.mpce.mp.br/Dispensa/1291020194.pdf","12910/2019-4")</f>
        <v>12910/2019-4</v>
      </c>
      <c r="D90" s="5">
        <v>45327</v>
      </c>
      <c r="E90" s="9" t="str">
        <f>HYPERLINK("https://www8.mpce.mp.br/Empenhos/150001/Objeto/39-2019.pdf","TAXAS CONDOMINIAIS DOS IMÓVEIS ONDE FUNCIONAM AS PROMOTORIAS DA INFÂNCIA E JUVENTUDE, CONTRATO 039/2019/PGJ REFERENTE AO MES DE JAN, FEV E MAR/2024 - POR ESTIMATIVA")</f>
        <v>TAXAS CONDOMINIAIS DOS IMÓVEIS ONDE FUNCIONAM AS PROMOTORIAS DA INFÂNCIA E JUVENTUDE, CONTRATO 039/2019/PGJ REFERENTE AO MES DE JAN, FEV E MAR/2024 - POR ESTIMATIVA</v>
      </c>
      <c r="F90" s="3" t="s">
        <v>242</v>
      </c>
      <c r="G90" s="6" t="str">
        <f>HYPERLINK("http://www8.mpce.mp.br/Empenhos/150501/NE/2024NE000095.pdf","2024NE000095")</f>
        <v>2024NE000095</v>
      </c>
      <c r="H90" s="7">
        <v>8177.55</v>
      </c>
      <c r="I90" s="8" t="s">
        <v>159</v>
      </c>
      <c r="J90" s="12" t="s">
        <v>160</v>
      </c>
    </row>
    <row r="91" spans="1:10" ht="38.25" x14ac:dyDescent="0.25">
      <c r="A91" s="2" t="s">
        <v>45</v>
      </c>
      <c r="B91" s="3" t="s">
        <v>239</v>
      </c>
      <c r="C91" s="4" t="str">
        <f>HYPERLINK("http://www8.mpce.mp.br/Dispensa/146020136.pdf","1460/2013-6")</f>
        <v>1460/2013-6</v>
      </c>
      <c r="D91" s="5">
        <v>45327</v>
      </c>
      <c r="E91" s="9" t="str">
        <f>HYPERLINK("https://www8.mpce.mp.br/Empenhos/150001/Objeto/39-2013.pdf","LOCAÇÃO DE IMÓVEL ONDE FUNCIONAM AS PROMOTORIAS DE CASCAVEL-CE REF A JANEIRO DE 2024, CONFORME CONTRATO 39/2013")</f>
        <v>LOCAÇÃO DE IMÓVEL ONDE FUNCIONAM AS PROMOTORIAS DE CASCAVEL-CE REF A JANEIRO DE 2024, CONFORME CONTRATO 39/2013</v>
      </c>
      <c r="F91" s="3" t="s">
        <v>172</v>
      </c>
      <c r="G91" s="6" t="str">
        <f>HYPERLINK("http://www8.mpce.mp.br/Empenhos/150501/NE/2024NE000096.pdf","2024NE000096")</f>
        <v>2024NE000096</v>
      </c>
      <c r="H91" s="7">
        <v>4341.5600000000004</v>
      </c>
      <c r="I91" s="8" t="s">
        <v>243</v>
      </c>
      <c r="J91" s="12" t="s">
        <v>244</v>
      </c>
    </row>
    <row r="92" spans="1:10" ht="51" x14ac:dyDescent="0.25">
      <c r="A92" s="2" t="s">
        <v>45</v>
      </c>
      <c r="B92" s="3" t="s">
        <v>192</v>
      </c>
      <c r="C92" s="4" t="str">
        <f>HYPERLINK("https://transparencia-area-fim.mpce.mp.br/#/consulta/processo/pastadigital/092021000219739","09.2021.00021973-9")</f>
        <v>09.2021.00021973-9</v>
      </c>
      <c r="D92" s="5">
        <v>45328</v>
      </c>
      <c r="E92" s="9" t="str">
        <f>HYPERLINK("https://www8.mpce.mp.br/Empenhos/150001/Objeto/45-2021.pdf","TAXAS CONDOMINIAIS DOS MESES DE JANEIRO A MARÇO/2023V DO IMÓVEL DAS PROMOTORIAS DE JUSTIÇA DO EUZÉBIO, POR ESTIMATIVA E CONFORME CONTRATO 45/2021")</f>
        <v>TAXAS CONDOMINIAIS DOS MESES DE JANEIRO A MARÇO/2023V DO IMÓVEL DAS PROMOTORIAS DE JUSTIÇA DO EUZÉBIO, POR ESTIMATIVA E CONFORME CONTRATO 45/2021</v>
      </c>
      <c r="F92" s="3" t="s">
        <v>242</v>
      </c>
      <c r="G92" s="6" t="str">
        <f>HYPERLINK("http://www8.mpce.mp.br/Empenhos/150501/NE/2024NE000098.pdf","2024NE000098")</f>
        <v>2024NE000098</v>
      </c>
      <c r="H92" s="7">
        <v>1387.47</v>
      </c>
      <c r="I92" s="8" t="s">
        <v>155</v>
      </c>
      <c r="J92" s="12" t="s">
        <v>156</v>
      </c>
    </row>
    <row r="93" spans="1:10" ht="38.25" x14ac:dyDescent="0.25">
      <c r="A93" s="2" t="s">
        <v>45</v>
      </c>
      <c r="B93" s="3" t="s">
        <v>201</v>
      </c>
      <c r="C93" s="4" t="str">
        <f>HYPERLINK("https://transparencia-area-fim.mpce.mp.br/#/consulta/processo/pastadigital/092022000343795","09.2022.00034379-5")</f>
        <v>09.2022.00034379-5</v>
      </c>
      <c r="D93" s="5">
        <v>45328</v>
      </c>
      <c r="E93" s="9" t="str">
        <f>HYPERLINK("https://www8.mpce.mp.br/Empenhos/150001/Objeto/25-2023.pdf","LOCAÇÃO DE IMÓVEL ONDE FUNCIONAM AS PROMOTORIAS DE COMARCA DE CANINDÉ-CE, REFERENTE AO MÊS DE JANEIRO/2024 CONFORME CONTRATO 25/2023")</f>
        <v>LOCAÇÃO DE IMÓVEL ONDE FUNCIONAM AS PROMOTORIAS DE COMARCA DE CANINDÉ-CE, REFERENTE AO MÊS DE JANEIRO/2024 CONFORME CONTRATO 25/2023</v>
      </c>
      <c r="F93" s="3" t="s">
        <v>127</v>
      </c>
      <c r="G93" s="6" t="str">
        <f>HYPERLINK("http://www8.mpce.mp.br/Empenhos/150501/NE/2024NE000099.pdf","2024NE000099")</f>
        <v>2024NE000099</v>
      </c>
      <c r="H93" s="7">
        <v>14000</v>
      </c>
      <c r="I93" s="8" t="s">
        <v>245</v>
      </c>
      <c r="J93" s="12" t="s">
        <v>246</v>
      </c>
    </row>
    <row r="94" spans="1:10" ht="38.25" x14ac:dyDescent="0.25">
      <c r="A94" s="2" t="s">
        <v>45</v>
      </c>
      <c r="B94" s="3" t="s">
        <v>192</v>
      </c>
      <c r="C94" s="4" t="str">
        <f>HYPERLINK("http://www8.mpce.mp.br/Dispensa/4503020176.pdf","45030/2017-6")</f>
        <v>45030/2017-6</v>
      </c>
      <c r="D94" s="5">
        <v>45329</v>
      </c>
      <c r="E94" s="9" t="str">
        <f>HYPERLINK("https://www8.mpce.mp.br/Empenhos/150001/Objeto/74-2019.pdf","LOCAÇÃO DE IMÓVEL ONDE FUNCIONA A PROMOTORIA DE JUSTIÇA DE GRANJA-CE, REFERENTE AO CONTRATO 074/2019 E RELATIVO AO MÊS DE JANEIRO/2024.")</f>
        <v>LOCAÇÃO DE IMÓVEL ONDE FUNCIONA A PROMOTORIA DE JUSTIÇA DE GRANJA-CE, REFERENTE AO CONTRATO 074/2019 E RELATIVO AO MÊS DE JANEIRO/2024.</v>
      </c>
      <c r="F94" s="3" t="s">
        <v>172</v>
      </c>
      <c r="G94" s="6" t="str">
        <f>HYPERLINK("http://www8.mpce.mp.br/Empenhos/150501/NE/2024NE000100.pdf","2024NE000100")</f>
        <v>2024NE000100</v>
      </c>
      <c r="H94" s="7">
        <v>2188.0100000000002</v>
      </c>
      <c r="I94" s="8" t="s">
        <v>247</v>
      </c>
      <c r="J94" s="12" t="s">
        <v>248</v>
      </c>
    </row>
    <row r="95" spans="1:10" ht="51" x14ac:dyDescent="0.25">
      <c r="A95" s="2" t="s">
        <v>45</v>
      </c>
      <c r="B95" s="3" t="s">
        <v>192</v>
      </c>
      <c r="C95" s="4" t="str">
        <f>HYPERLINK("https://transparencia-area-fim.mpce.mp.br/#/consulta/processo/pastadigital/092022000343840","09.2022.00034384-0")</f>
        <v>09.2022.00034384-0</v>
      </c>
      <c r="D95" s="5">
        <v>45336</v>
      </c>
      <c r="E95" s="9" t="str">
        <f>HYPERLINK("https://www8.mpce.mp.br/Empenhos/150001/Objeto/11-2023.pdf","LOCAÇÃO DE IMÓVEL ONDE FUNCIONA A PROMOTORIA DE JUSTIÇA DE SANTA QUITÉRIA-CE, REFERENTE AOS MESES DE  JANEIRO A MARÇO DE 2024 CONFORME CONTRATO 011/2023.")</f>
        <v>LOCAÇÃO DE IMÓVEL ONDE FUNCIONA A PROMOTORIA DE JUSTIÇA DE SANTA QUITÉRIA-CE, REFERENTE AOS MESES DE  JANEIRO A MARÇO DE 2024 CONFORME CONTRATO 011/2023.</v>
      </c>
      <c r="F95" s="3" t="s">
        <v>127</v>
      </c>
      <c r="G95" s="6" t="str">
        <f>HYPERLINK("http://www8.mpce.mp.br/Empenhos/150501/NE/2024NE000118.pdf","2024NE000118")</f>
        <v>2024NE000118</v>
      </c>
      <c r="H95" s="7">
        <v>39600</v>
      </c>
      <c r="I95" s="8" t="s">
        <v>249</v>
      </c>
      <c r="J95" s="12" t="s">
        <v>250</v>
      </c>
    </row>
    <row r="96" spans="1:10" ht="51" x14ac:dyDescent="0.25">
      <c r="A96" s="2" t="s">
        <v>45</v>
      </c>
      <c r="B96" s="3" t="s">
        <v>192</v>
      </c>
      <c r="C96" s="4" t="str">
        <f>HYPERLINK("https://transparencia-area-fim.mpce.mp.br/#/consulta/processo/pastadigital/092022000343818","09.2022.00034381-8")</f>
        <v>09.2022.00034381-8</v>
      </c>
      <c r="D96" s="5">
        <v>45336</v>
      </c>
      <c r="E96" s="9" t="str">
        <f>HYPERLINK("https://www8.mpce.mp.br/Empenhos/150001/Objeto/24-2023.pdf","LOCAÇÃO DE IMÓVEL DAS PROMOTORIAS DE JUSTIÇA DE ITAPIPOCA-CE , POR ESTIMATIVA, RELATIVOS AOS MESES DE JANEIRO A MARÇO/2024 E CONFORME CONTRATO 24/2023.")</f>
        <v>LOCAÇÃO DE IMÓVEL DAS PROMOTORIAS DE JUSTIÇA DE ITAPIPOCA-CE , POR ESTIMATIVA, RELATIVOS AOS MESES DE JANEIRO A MARÇO/2024 E CONFORME CONTRATO 24/2023.</v>
      </c>
      <c r="F96" s="3" t="s">
        <v>127</v>
      </c>
      <c r="G96" s="6" t="str">
        <f>HYPERLINK("http://www8.mpce.mp.br/Empenhos/150501/NE/2024NE000119.pdf","2024NE000119")</f>
        <v>2024NE000119</v>
      </c>
      <c r="H96" s="7">
        <v>54000</v>
      </c>
      <c r="I96" s="8" t="s">
        <v>251</v>
      </c>
      <c r="J96" s="12" t="s">
        <v>252</v>
      </c>
    </row>
    <row r="97" spans="1:10" ht="63.75" x14ac:dyDescent="0.25">
      <c r="A97" s="2" t="s">
        <v>45</v>
      </c>
      <c r="B97" s="3" t="s">
        <v>253</v>
      </c>
      <c r="C97" s="4" t="str">
        <f>HYPERLINK("https://transparencia-area-fim.mpce.mp.br/#/consulta/processo/pastadigital/092022000111032","09.2022.00011103-2")</f>
        <v>09.2022.00011103-2</v>
      </c>
      <c r="D97" s="5">
        <v>45338</v>
      </c>
      <c r="E97" s="9" t="str">
        <f>HYPERLINK("https://www8.mpce.mp.br/Empenhos/150001/Objeto/23-2022.pdf","EMPENHO DE PROVIMENTO DE RECURSOS EM NUVEM, SERVIÇOS TÉCNICOS ESPECIALIZADOS E LINK DEDICADO PARA A NUVEM, CONFORME CONTRATO 023/2022 E PROJETO 052/2023, REF. AOS MESES DE JAN, FEV, E MARÇO DE 2024.")</f>
        <v>EMPENHO DE PROVIMENTO DE RECURSOS EM NUVEM, SERVIÇOS TÉCNICOS ESPECIALIZADOS E LINK DEDICADO PARA A NUVEM, CONFORME CONTRATO 023/2022 E PROJETO 052/2023, REF. AOS MESES DE JAN, FEV, E MARÇO DE 2024.</v>
      </c>
      <c r="F97" s="3" t="s">
        <v>254</v>
      </c>
      <c r="G97" s="6" t="str">
        <f>HYPERLINK("http://www8.mpce.mp.br/Empenhos/150501/NE/2024NE000124.pdf","2024NE000124")</f>
        <v>2024NE000124</v>
      </c>
      <c r="H97" s="7">
        <v>135000</v>
      </c>
      <c r="I97" s="8" t="s">
        <v>255</v>
      </c>
      <c r="J97" s="12" t="s">
        <v>256</v>
      </c>
    </row>
    <row r="98" spans="1:10" ht="38.25" x14ac:dyDescent="0.25">
      <c r="A98" s="2" t="s">
        <v>20</v>
      </c>
      <c r="B98" s="3" t="s">
        <v>21</v>
      </c>
      <c r="C98" s="4" t="str">
        <f>HYPERLINK("https://transparencia-area-fim.mpce.mp.br/#/consulta/processo/pastadigital/092023000368013","09.2023.00036801-3")</f>
        <v>09.2023.00036801-3</v>
      </c>
      <c r="D98" s="5">
        <v>45338</v>
      </c>
      <c r="E98" s="9" t="str">
        <f>HYPERLINK("https://www8.mpce.mp.br/Empenhos/150001/Objeto/62-2023.pdf","FORNECIMENTO DE SOLUÇÕES AVANÇADAS CONFORME CONTRATO 062/2023, POR INEXIGIBILIDADE DE LICITAÇÃO E CONFORME PROJETO 064/2023.")</f>
        <v>FORNECIMENTO DE SOLUÇÕES AVANÇADAS CONFORME CONTRATO 062/2023, POR INEXIGIBILIDADE DE LICITAÇÃO E CONFORME PROJETO 064/2023.</v>
      </c>
      <c r="F98" s="3" t="s">
        <v>257</v>
      </c>
      <c r="G98" s="6" t="str">
        <f>HYPERLINK("http://www8.mpce.mp.br/Empenhos/150501/NE/2024NE000125.pdf","2024NE000125")</f>
        <v>2024NE000125</v>
      </c>
      <c r="H98" s="7">
        <v>1179298.5</v>
      </c>
      <c r="I98" s="8" t="s">
        <v>258</v>
      </c>
      <c r="J98" s="12" t="s">
        <v>259</v>
      </c>
    </row>
    <row r="99" spans="1:10" ht="102" x14ac:dyDescent="0.25">
      <c r="A99" s="2" t="s">
        <v>45</v>
      </c>
      <c r="B99" s="3" t="s">
        <v>260</v>
      </c>
      <c r="C99" s="4" t="str">
        <f>HYPERLINK("https://transparencia-area-fim.mpce.mp.br/#/consulta/processo/pastadigital/092023000117363","09.2023.00011736-3")</f>
        <v>09.2023.00011736-3</v>
      </c>
      <c r="D99" s="5">
        <v>45338</v>
      </c>
      <c r="E99" s="9" t="s">
        <v>261</v>
      </c>
      <c r="F99" s="3" t="s">
        <v>262</v>
      </c>
      <c r="G99" s="6" t="str">
        <f>HYPERLINK("http://www8.mpce.mp.br/Empenhos/150501/NE/2024NE000126.pdf","2024NE000126")</f>
        <v>2024NE000126</v>
      </c>
      <c r="H99" s="7">
        <v>18649.259999999998</v>
      </c>
      <c r="I99" s="8" t="s">
        <v>255</v>
      </c>
      <c r="J99" s="12" t="s">
        <v>256</v>
      </c>
    </row>
    <row r="100" spans="1:10" ht="51" x14ac:dyDescent="0.25">
      <c r="A100" s="2" t="s">
        <v>45</v>
      </c>
      <c r="B100" s="3" t="s">
        <v>263</v>
      </c>
      <c r="C100" s="4" t="str">
        <f>HYPERLINK("http://www8.mpce.mp.br/Dispensa/48729162.pdf","48729/16-2")</f>
        <v>48729/16-2</v>
      </c>
      <c r="D100" s="5">
        <v>45338</v>
      </c>
      <c r="E100" s="9" t="str">
        <f>HYPERLINK("https://www8.mpce.mp.br/Empenhos/150001/Objeto/06-2017.pdf","EMPENHO DE TAVA DE LIXO, 1ª E 2ª PARCELAS, REF. AO IMÓVEL ONDE FUNCIONAM AS PROMOTORIAS DE JUSTIÇA CÍVEIS, LOCALIZADO À RUA LOURENÇO FEITOSA, 16, BAIRRO JOSÉ BONIFÁCIO, CONF. CONTRATO 006/2017/PGJ.")</f>
        <v>EMPENHO DE TAVA DE LIXO, 1ª E 2ª PARCELAS, REF. AO IMÓVEL ONDE FUNCIONAM AS PROMOTORIAS DE JUSTIÇA CÍVEIS, LOCALIZADO À RUA LOURENÇO FEITOSA, 16, BAIRRO JOSÉ BONIFÁCIO, CONF. CONTRATO 006/2017/PGJ.</v>
      </c>
      <c r="F100" s="3" t="s">
        <v>264</v>
      </c>
      <c r="G100" s="6" t="str">
        <f>HYPERLINK("http://www8.mpce.mp.br/Empenhos/150501/NE/2024NE000127.pdf","2024NE000127")</f>
        <v>2024NE000127</v>
      </c>
      <c r="H100" s="7">
        <v>589.08000000000004</v>
      </c>
      <c r="I100" s="8" t="s">
        <v>137</v>
      </c>
      <c r="J100" s="12" t="s">
        <v>138</v>
      </c>
    </row>
    <row r="101" spans="1:10" ht="51" x14ac:dyDescent="0.25">
      <c r="A101" s="2" t="s">
        <v>45</v>
      </c>
      <c r="B101" s="3" t="s">
        <v>263</v>
      </c>
      <c r="C101" s="4" t="str">
        <f>HYPERLINK("http://www8.mpce.mp.br/Dispensa/48729162.pdf","48729/16-2")</f>
        <v>48729/16-2</v>
      </c>
      <c r="D101" s="5">
        <v>45338</v>
      </c>
      <c r="E101" s="9" t="str">
        <f>HYPERLINK("https://www8.mpce.mp.br/Empenhos/150001/Objeto/06-2017.pdf","EMPENHO DE IPTU/2024, 1ª E 2ª PARCELAS, REF. AO IMÓVEL ONDE FUNCIONAL  AS PROMOTORIAS DE JUSTIÇA CÍVEIS, LOCALIZADA À RUA LOURENÇO FEITOSA, 16, BAIRRO JOSÉ BONIFÁCIO, CONF. CONTRATO Nº 006/2017/PGJ.")</f>
        <v>EMPENHO DE IPTU/2024, 1ª E 2ª PARCELAS, REF. AO IMÓVEL ONDE FUNCIONAL  AS PROMOTORIAS DE JUSTIÇA CÍVEIS, LOCALIZADA À RUA LOURENÇO FEITOSA, 16, BAIRRO JOSÉ BONIFÁCIO, CONF. CONTRATO Nº 006/2017/PGJ.</v>
      </c>
      <c r="F101" s="3" t="s">
        <v>264</v>
      </c>
      <c r="G101" s="6" t="str">
        <f>HYPERLINK("http://www8.mpce.mp.br/Empenhos/150501/NE/2024NE000129.pdf","2024NE000129")</f>
        <v>2024NE000129</v>
      </c>
      <c r="H101" s="7">
        <v>6852.62</v>
      </c>
      <c r="I101" s="8" t="s">
        <v>137</v>
      </c>
      <c r="J101" s="12" t="s">
        <v>138</v>
      </c>
    </row>
    <row r="102" spans="1:10" ht="89.25" x14ac:dyDescent="0.25">
      <c r="A102" s="2" t="s">
        <v>20</v>
      </c>
      <c r="B102" s="3" t="s">
        <v>21</v>
      </c>
      <c r="C102" s="4" t="str">
        <f>HYPERLINK("http://www8.mpce.mp.br/Inexigibilidade/1045920194.pdf","10459/2019-4")</f>
        <v>10459/2019-4</v>
      </c>
      <c r="D102" s="5">
        <v>45341</v>
      </c>
      <c r="E102" s="9" t="s">
        <v>265</v>
      </c>
      <c r="F102" s="3" t="s">
        <v>266</v>
      </c>
      <c r="G102" s="6" t="str">
        <f>HYPERLINK("http://www8.mpce.mp.br/Empenhos/150501/NE/2024NE000132.pdf","2024NE000132")</f>
        <v>2024NE000132</v>
      </c>
      <c r="H102" s="7">
        <v>51948.800000000003</v>
      </c>
      <c r="I102" s="8" t="s">
        <v>267</v>
      </c>
      <c r="J102" s="12" t="s">
        <v>268</v>
      </c>
    </row>
    <row r="103" spans="1:10" ht="102" x14ac:dyDescent="0.25">
      <c r="A103" s="2" t="s">
        <v>45</v>
      </c>
      <c r="B103" s="3" t="s">
        <v>269</v>
      </c>
      <c r="C103" s="4" t="str">
        <f>HYPERLINK("https://transparencia-area-fim.mpce.mp.br/#/consulta/processo/pastadigital/092021000349974","09.2021.00034997-4")</f>
        <v>09.2021.00034997-4</v>
      </c>
      <c r="D103" s="5">
        <v>45341</v>
      </c>
      <c r="E103" s="9" t="s">
        <v>270</v>
      </c>
      <c r="F103" s="3" t="s">
        <v>120</v>
      </c>
      <c r="G103" s="6" t="str">
        <f>HYPERLINK("http://www8.mpce.mp.br/Empenhos/150501/NE/2024NE000134.pdf","2024NE000134")</f>
        <v>2024NE000134</v>
      </c>
      <c r="H103" s="7">
        <v>151416</v>
      </c>
      <c r="I103" s="8" t="s">
        <v>255</v>
      </c>
      <c r="J103" s="12" t="s">
        <v>256</v>
      </c>
    </row>
    <row r="104" spans="1:10" ht="51" x14ac:dyDescent="0.25">
      <c r="A104" s="2" t="s">
        <v>45</v>
      </c>
      <c r="B104" s="3" t="s">
        <v>271</v>
      </c>
      <c r="C104" s="4" t="str">
        <f>HYPERLINK("https://transparencia-area-fim.mpce.mp.br/#/consulta/processo/pastadigital/092020000096883","09.2020.00009688-3")</f>
        <v>09.2020.00009688-3</v>
      </c>
      <c r="D104" s="5">
        <v>45341</v>
      </c>
      <c r="E104" s="9" t="str">
        <f>HYPERLINK("https://www8.mpce.mp.br/Empenhos/150001/Objeto/28-2020.pdf","SERVIÇOS DE SUPORTE E FORNECIMENTO DOS SERVIÇOS COMPUTACIONAIS DA PLATAFORMA GOOGLE MAPS - CONTRATO 028/2020 - POR ESTIMATIVA, COMPETÊNCIA JAN, FEV E MAR/2024.")</f>
        <v>SERVIÇOS DE SUPORTE E FORNECIMENTO DOS SERVIÇOS COMPUTACIONAIS DA PLATAFORMA GOOGLE MAPS - CONTRATO 028/2020 - POR ESTIMATIVA, COMPETÊNCIA JAN, FEV E MAR/2024.</v>
      </c>
      <c r="F104" s="3" t="s">
        <v>254</v>
      </c>
      <c r="G104" s="6" t="str">
        <f>HYPERLINK("http://www8.mpce.mp.br/Empenhos/150501/NE/2024NE000137.pdf","2024NE000137")</f>
        <v>2024NE000137</v>
      </c>
      <c r="H104" s="7">
        <v>900</v>
      </c>
      <c r="I104" s="8" t="s">
        <v>272</v>
      </c>
      <c r="J104" s="12" t="s">
        <v>273</v>
      </c>
    </row>
    <row r="105" spans="1:10" ht="38.25" x14ac:dyDescent="0.25">
      <c r="A105" s="2" t="s">
        <v>45</v>
      </c>
      <c r="B105" s="3" t="s">
        <v>274</v>
      </c>
      <c r="C105" s="4" t="str">
        <f>HYPERLINK("http://www8.mpce.mp.br/Dispensa/3072520194.pdf","30725/2019-4")</f>
        <v>30725/2019-4</v>
      </c>
      <c r="D105" s="5">
        <v>45342</v>
      </c>
      <c r="E105" s="9" t="str">
        <f>HYPERLINK("https://www8.mpce.mp.br/Empenhos/150001/Objeto/06-2020.pdf","EMPENHO DE LINK DE DADOS, SERVIÇOS DE NUVEM E HORAS IMPRODUTIVAS, REF. AOS MESES JAN, FEV E MARÇO DE 2024, CONF. CONTRATO 006/2020.")</f>
        <v>EMPENHO DE LINK DE DADOS, SERVIÇOS DE NUVEM E HORAS IMPRODUTIVAS, REF. AOS MESES JAN, FEV E MARÇO DE 2024, CONF. CONTRATO 006/2020.</v>
      </c>
      <c r="F105" s="3" t="s">
        <v>254</v>
      </c>
      <c r="G105" s="6" t="str">
        <f>HYPERLINK("http://www8.mpce.mp.br/Empenhos/150501/NE/2024NE000138.pdf","2024NE000138")</f>
        <v>2024NE000138</v>
      </c>
      <c r="H105" s="7">
        <v>67691.039999999994</v>
      </c>
      <c r="I105" s="8" t="s">
        <v>255</v>
      </c>
      <c r="J105" s="12" t="s">
        <v>256</v>
      </c>
    </row>
    <row r="106" spans="1:10" ht="38.25" x14ac:dyDescent="0.25">
      <c r="A106" s="2" t="s">
        <v>45</v>
      </c>
      <c r="B106" s="3" t="s">
        <v>275</v>
      </c>
      <c r="C106" s="4" t="str">
        <f>HYPERLINK("https://transparencia-area-fim.mpce.mp.br/#/consulta/processo/pastadigital/092021000047808","09.2021.00004780-8")</f>
        <v>09.2021.00004780-8</v>
      </c>
      <c r="D106" s="5">
        <v>45341</v>
      </c>
      <c r="E106" s="9" t="str">
        <f>HYPERLINK("https://www8.mpce.mp.br/Empenhos/150001/Objeto/25-2021.pdf","LOCAÇÃO DE IMÓVEIS ONDE FUNCIONAM AS PROMOTORIAS DE JUSTIÇA DE ALTO SANTO, CONTRATO 025/2021/PGJ, POR ESTIMATIVA, REFERENTE AO MES DE FEV E MAR/2024.")</f>
        <v>LOCAÇÃO DE IMÓVEIS ONDE FUNCIONAM AS PROMOTORIAS DE JUSTIÇA DE ALTO SANTO, CONTRATO 025/2021/PGJ, POR ESTIMATIVA, REFERENTE AO MES DE FEV E MAR/2024.</v>
      </c>
      <c r="F106" s="3" t="s">
        <v>172</v>
      </c>
      <c r="G106" s="6" t="str">
        <f>HYPERLINK("http://www8.mpce.mp.br/Empenhos/150501/NE/2024NE000139.pdf","2024NE000139")</f>
        <v>2024NE000139</v>
      </c>
      <c r="H106" s="7">
        <v>3302.3</v>
      </c>
      <c r="I106" s="8" t="s">
        <v>218</v>
      </c>
      <c r="J106" s="12" t="s">
        <v>219</v>
      </c>
    </row>
    <row r="107" spans="1:10" ht="51" x14ac:dyDescent="0.25">
      <c r="A107" s="2" t="s">
        <v>45</v>
      </c>
      <c r="B107" s="3" t="s">
        <v>276</v>
      </c>
      <c r="C107" s="4" t="str">
        <f>HYPERLINK("http://www8.mpce.mp.br/Dispensa/862520178.pdf","8625/20178")</f>
        <v>8625/20178</v>
      </c>
      <c r="D107" s="5">
        <v>45343</v>
      </c>
      <c r="E107" s="9" t="str">
        <f>HYPERLINK("https://www8.mpce.mp.br/Empenhos/150001/Objeto/31-2017.pdf","EMPENHO DE LOCAÇÃO DE IMÓVEIS ONDE FUNCIONAM AS PROMOTORIAS DE JUSTIÇA DE CANINDÉ, CONTRATO 031/2017/PGJ REFERENTE AOS MESES DE FEV. E MARÇO DE 2024.")</f>
        <v>EMPENHO DE LOCAÇÃO DE IMÓVEIS ONDE FUNCIONAM AS PROMOTORIAS DE JUSTIÇA DE CANINDÉ, CONTRATO 031/2017/PGJ REFERENTE AOS MESES DE FEV. E MARÇO DE 2024.</v>
      </c>
      <c r="F107" s="3" t="s">
        <v>172</v>
      </c>
      <c r="G107" s="6" t="str">
        <f>HYPERLINK("http://www8.mpce.mp.br/Empenhos/150501/NE/2024NE000140.pdf","2024NE000140")</f>
        <v>2024NE000140</v>
      </c>
      <c r="H107" s="7">
        <v>2160.44</v>
      </c>
      <c r="I107" s="8" t="s">
        <v>210</v>
      </c>
      <c r="J107" s="12" t="s">
        <v>211</v>
      </c>
    </row>
    <row r="108" spans="1:10" ht="51" x14ac:dyDescent="0.25">
      <c r="A108" s="2" t="s">
        <v>20</v>
      </c>
      <c r="B108" s="3" t="s">
        <v>277</v>
      </c>
      <c r="C108" s="4" t="str">
        <f>HYPERLINK("https://transparencia-area-fim.mpce.mp.br/#/consulta/processo/pastadigital/092021000189150","09.2021.00018915-0")</f>
        <v>09.2021.00018915-0</v>
      </c>
      <c r="D108" s="5">
        <v>45342</v>
      </c>
      <c r="E108" s="9" t="str">
        <f>HYPERLINK("https://www8.mpce.mp.br/Empenhos/150001/Objeto/09-2022.pdf","SERVIÇO DE EXTENSÃO DE GARANTIA DO DATA CENTER, CONFORME CONTRATO Nº 09/2022 E PROJETO Nº 52/2023/FRMMP, REFERENTE JAN. FEV E MAR/2024 - POR ESTIMATIVA.")</f>
        <v>SERVIÇO DE EXTENSÃO DE GARANTIA DO DATA CENTER, CONFORME CONTRATO Nº 09/2022 E PROJETO Nº 52/2023/FRMMP, REFERENTE JAN. FEV E MAR/2024 - POR ESTIMATIVA.</v>
      </c>
      <c r="F108" s="3" t="s">
        <v>278</v>
      </c>
      <c r="G108" s="6" t="str">
        <f>HYPERLINK("http://www8.mpce.mp.br/Empenhos/150501/NE/2024NE000142.pdf","2024NE000142")</f>
        <v>2024NE000142</v>
      </c>
      <c r="H108" s="7">
        <v>63000</v>
      </c>
      <c r="I108" s="8" t="s">
        <v>279</v>
      </c>
      <c r="J108" s="12" t="s">
        <v>280</v>
      </c>
    </row>
    <row r="109" spans="1:10" ht="38.25" x14ac:dyDescent="0.25">
      <c r="A109" s="2" t="s">
        <v>45</v>
      </c>
      <c r="B109" s="3" t="s">
        <v>281</v>
      </c>
      <c r="C109" s="4" t="str">
        <f>HYPERLINK("http://www8.mpce.mp.br/Dispensa/48729162.pdf","48729/16-2")</f>
        <v>48729/16-2</v>
      </c>
      <c r="D109" s="5">
        <v>45342</v>
      </c>
      <c r="E109" s="9" t="str">
        <f>HYPERLINK("https://www8.mpce.mp.br/Empenhos/150001/Objeto/06-2017.pdf","LOCAÇÃO DE IMÓVEL CONFORME CONTRATO 06/2017 DAS PROMOTORIAS DE JUSTIÇA CÍVEIS RELATIVO AO MES DE FEVEREIRO E MARÇO DE 2024, POR ESTIMATIVA.")</f>
        <v>LOCAÇÃO DE IMÓVEL CONFORME CONTRATO 06/2017 DAS PROMOTORIAS DE JUSTIÇA CÍVEIS RELATIVO AO MES DE FEVEREIRO E MARÇO DE 2024, POR ESTIMATIVA.</v>
      </c>
      <c r="F109" s="3" t="s">
        <v>127</v>
      </c>
      <c r="G109" s="6" t="str">
        <f>HYPERLINK("http://www8.mpce.mp.br/Empenhos/150501/NE/2024NE000144.pdf","2024NE000144")</f>
        <v>2024NE000144</v>
      </c>
      <c r="H109" s="7">
        <v>229493.82</v>
      </c>
      <c r="I109" s="8" t="s">
        <v>137</v>
      </c>
      <c r="J109" s="12" t="s">
        <v>138</v>
      </c>
    </row>
    <row r="110" spans="1:10" ht="114.75" x14ac:dyDescent="0.25">
      <c r="A110" s="2" t="s">
        <v>45</v>
      </c>
      <c r="B110" s="3" t="s">
        <v>282</v>
      </c>
      <c r="C110" s="4" t="str">
        <f>HYPERLINK("http://www8.mpce.mp.br/Dispensa/3657120162.pdf","3657120162")</f>
        <v>3657120162</v>
      </c>
      <c r="D110" s="5">
        <v>45342</v>
      </c>
      <c r="E110" s="9" t="s">
        <v>283</v>
      </c>
      <c r="F110" s="3" t="s">
        <v>172</v>
      </c>
      <c r="G110" s="6" t="str">
        <f>HYPERLINK("http://www8.mpce.mp.br/Empenhos/150501/NE/2024NE000145.pdf","2024NE000145")</f>
        <v>2024NE000145</v>
      </c>
      <c r="H110" s="7">
        <v>4044.06</v>
      </c>
      <c r="I110" s="8" t="s">
        <v>224</v>
      </c>
      <c r="J110" s="12" t="s">
        <v>225</v>
      </c>
    </row>
    <row r="111" spans="1:10" ht="51" x14ac:dyDescent="0.25">
      <c r="A111" s="2" t="s">
        <v>45</v>
      </c>
      <c r="B111" s="3" t="s">
        <v>284</v>
      </c>
      <c r="C111" s="4" t="str">
        <f>HYPERLINK("https://transparencia-area-fim.mpce.mp.br/#/consulta/processo/pastadigital/092022000197876","09.2022.00019787-6")</f>
        <v>09.2022.00019787-6</v>
      </c>
      <c r="D111" s="5">
        <v>45342</v>
      </c>
      <c r="E111" s="9" t="str">
        <f>HYPERLINK("https://www8.mpce.mp.br/Empenhos/150001/Objeto/02-2023.pdf","LOCAÇÃO DE IMÓVEL CONFORME CONTRATO 02/2023 DOS NÚCLEOS DE MEDIAÇÃO COMUNITÁRIA (AV OSCAR ARARIPE 1030 - BOM JARDIM) REFERENTE AO MES DE FEVEREIRO E MARÇO DE 2024, POR ESTIMATIVA.")</f>
        <v>LOCAÇÃO DE IMÓVEL CONFORME CONTRATO 02/2023 DOS NÚCLEOS DE MEDIAÇÃO COMUNITÁRIA (AV OSCAR ARARIPE 1030 - BOM JARDIM) REFERENTE AO MES DE FEVEREIRO E MARÇO DE 2024, POR ESTIMATIVA.</v>
      </c>
      <c r="F111" s="3" t="s">
        <v>127</v>
      </c>
      <c r="G111" s="6" t="str">
        <f>HYPERLINK("http://www8.mpce.mp.br/Empenhos/150501/NE/2024NE000146.pdf","2024NE000146")</f>
        <v>2024NE000146</v>
      </c>
      <c r="H111" s="7">
        <v>11200</v>
      </c>
      <c r="I111" s="8" t="s">
        <v>134</v>
      </c>
      <c r="J111" s="12" t="s">
        <v>135</v>
      </c>
    </row>
    <row r="112" spans="1:10" ht="63.75" x14ac:dyDescent="0.25">
      <c r="A112" s="2" t="s">
        <v>45</v>
      </c>
      <c r="B112" s="3" t="s">
        <v>285</v>
      </c>
      <c r="C112" s="4" t="str">
        <f>HYPERLINK("http://www8.mpce.mp.br/Dispensa/3103320192.pdf","31033/2019-2")</f>
        <v>31033/2019-2</v>
      </c>
      <c r="D112" s="5">
        <v>45342</v>
      </c>
      <c r="E112" s="9" t="str">
        <f>HYPERLINK("https://www8.mpce.mp.br/Empenhos/150001/Objeto/04-2020.pdf","EMPENHO DOS ALUGUÉIS DOS MESES DE FEVEREIRO E  MARÇO DE 2024, REF. AOS IMÓVEL ONDE FUNCIONAM AS PROMOTORIAS DE JUSTIÇA DE BATURITÉ, LOCALIZADO À RUA VEREADOR FRANCISCO FRANCELINO, Nº 1425, BATURITÉ-CE, CONF. CONTRATO Nº 004/2020/PGJ.")</f>
        <v>EMPENHO DOS ALUGUÉIS DOS MESES DE FEVEREIRO E  MARÇO DE 2024, REF. AOS IMÓVEL ONDE FUNCIONAM AS PROMOTORIAS DE JUSTIÇA DE BATURITÉ, LOCALIZADO À RUA VEREADOR FRANCISCO FRANCELINO, Nº 1425, BATURITÉ-CE, CONF. CONTRATO Nº 004/2020/PGJ.</v>
      </c>
      <c r="F112" s="3" t="s">
        <v>172</v>
      </c>
      <c r="G112" s="6" t="str">
        <f>HYPERLINK("http://www8.mpce.mp.br/Empenhos/150501/NE/2024NE000147.pdf","2024NE000147")</f>
        <v>2024NE000147</v>
      </c>
      <c r="H112" s="7">
        <v>4000</v>
      </c>
      <c r="I112" s="8" t="s">
        <v>232</v>
      </c>
      <c r="J112" s="12" t="s">
        <v>233</v>
      </c>
    </row>
    <row r="113" spans="1:10" ht="38.25" x14ac:dyDescent="0.25">
      <c r="A113" s="2" t="s">
        <v>45</v>
      </c>
      <c r="B113" s="3" t="s">
        <v>284</v>
      </c>
      <c r="C113" s="4" t="str">
        <f>HYPERLINK("https://transparencia-area-fim.mpce.mp.br/#/consulta/processo/pastadigital/092022000343829","09.2022.00034382-9")</f>
        <v>09.2022.00034382-9</v>
      </c>
      <c r="D113" s="5">
        <v>45342</v>
      </c>
      <c r="E113" s="9" t="str">
        <f>HYPERLINK("https://www8.mpce.mp.br/Empenhos/150001/Objeto/10-2023.pdf","LOCAÇÃO DE IMÓVEL CONFORME CONTRATO 10/2023 DAS PROMOTORIAS DE ITAPAJÉ REFERENTE AO MES DE FEVEREIRO E MARÇO DE 2024, POR ESTIMATIVA.")</f>
        <v>LOCAÇÃO DE IMÓVEL CONFORME CONTRATO 10/2023 DAS PROMOTORIAS DE ITAPAJÉ REFERENTE AO MES DE FEVEREIRO E MARÇO DE 2024, POR ESTIMATIVA.</v>
      </c>
      <c r="F113" s="3" t="s">
        <v>127</v>
      </c>
      <c r="G113" s="6" t="str">
        <f>HYPERLINK("http://www8.mpce.mp.br/Empenhos/150501/NE/2024NE000149.pdf","2024NE000149")</f>
        <v>2024NE000149</v>
      </c>
      <c r="H113" s="7">
        <v>27224</v>
      </c>
      <c r="I113" s="8" t="s">
        <v>140</v>
      </c>
      <c r="J113" s="12" t="s">
        <v>141</v>
      </c>
    </row>
    <row r="114" spans="1:10" ht="51" x14ac:dyDescent="0.25">
      <c r="A114" s="2" t="s">
        <v>45</v>
      </c>
      <c r="B114" s="3" t="s">
        <v>286</v>
      </c>
      <c r="C114" s="4" t="str">
        <f>HYPERLINK("https://transparencia-area-fim.mpce.mp.br/#/consulta/processo/pastadigital/092021000244449","09.2021.00024444-9")</f>
        <v>09.2021.00024444-9</v>
      </c>
      <c r="D114" s="5">
        <v>45342</v>
      </c>
      <c r="E114" s="9" t="str">
        <f>HYPERLINK("https://www8.mpce.mp.br/Empenhos/150001/Objeto/12-2022.pdf","EMPENHO DE LOCAÇÃO DE IMÓVEIS ONDE FUNCIONAM AS PROMOTORIAS DE JUSTIÇA DE RUSSAS, CONTRATO 012/2022/PGJ, REFERENTE AOS MESES DE FEV E MARÇO DE 2024.")</f>
        <v>EMPENHO DE LOCAÇÃO DE IMÓVEIS ONDE FUNCIONAM AS PROMOTORIAS DE JUSTIÇA DE RUSSAS, CONTRATO 012/2022/PGJ, REFERENTE AOS MESES DE FEV E MARÇO DE 2024.</v>
      </c>
      <c r="F114" s="3" t="s">
        <v>127</v>
      </c>
      <c r="G114" s="6" t="str">
        <f>HYPERLINK("http://www8.mpce.mp.br/Empenhos/150501/NE/2024NE000150.pdf","2024NE000150")</f>
        <v>2024NE000150</v>
      </c>
      <c r="H114" s="7">
        <v>41800</v>
      </c>
      <c r="I114" s="8" t="s">
        <v>140</v>
      </c>
      <c r="J114" s="12" t="s">
        <v>141</v>
      </c>
    </row>
    <row r="115" spans="1:10" ht="51" x14ac:dyDescent="0.25">
      <c r="A115" s="2" t="s">
        <v>45</v>
      </c>
      <c r="B115" s="3" t="s">
        <v>287</v>
      </c>
      <c r="C115" s="4" t="str">
        <f>HYPERLINK("https://transparencia-area-fim.mpce.mp.br/#/consulta/processo/pastadigital/092021000064195","09.2021.00006419-5")</f>
        <v>09.2021.00006419-5</v>
      </c>
      <c r="D115" s="5">
        <v>45342</v>
      </c>
      <c r="E115" s="9" t="str">
        <f>HYPERLINK("https://www8.mpce.mp.br/Empenhos/150001/Objeto/41-2021.pdf","EMPENHO DE LOCAÇÃO DE IMÓVEIS ONDE FUNCIONAM AS PROMOTORIAS DE JUSTIÇA DE QUIXADÁ, CONTRATO 041/2021/PGJ REFERENTE AO MES DE FEV E MARÇO DE 2024.")</f>
        <v>EMPENHO DE LOCAÇÃO DE IMÓVEIS ONDE FUNCIONAM AS PROMOTORIAS DE JUSTIÇA DE QUIXADÁ, CONTRATO 041/2021/PGJ REFERENTE AO MES DE FEV E MARÇO DE 2024.</v>
      </c>
      <c r="F115" s="3" t="s">
        <v>127</v>
      </c>
      <c r="G115" s="6" t="str">
        <f>HYPERLINK("http://www8.mpce.mp.br/Empenhos/150501/NE/2024NE000151.pdf","2024NE000151")</f>
        <v>2024NE000151</v>
      </c>
      <c r="H115" s="7">
        <v>37800</v>
      </c>
      <c r="I115" s="8" t="s">
        <v>140</v>
      </c>
      <c r="J115" s="12" t="s">
        <v>141</v>
      </c>
    </row>
    <row r="116" spans="1:10" ht="51" x14ac:dyDescent="0.25">
      <c r="A116" s="2" t="s">
        <v>45</v>
      </c>
      <c r="B116" s="3" t="s">
        <v>288</v>
      </c>
      <c r="C116" s="4" t="str">
        <f>HYPERLINK("http://www8.mpce.mp.br/Dispensa/2060220148.pdf","20602/2014-8")</f>
        <v>20602/2014-8</v>
      </c>
      <c r="D116" s="5">
        <v>45342</v>
      </c>
      <c r="E116" s="9" t="str">
        <f>HYPERLINK("https://www8.mpce.mp.br/Empenhos/150001/Objeto/19-2014.pdf","LOCAÇÃO DE IMÓVEL CONFORME CONTRATO 19/2014 REFERENTE ÀS PROMOTORIAS DE JUSTIÇA DA INFÂNCIA E JUVENTUDE RELATIVO AO MES DE FEVEREIRO E MARÇO DE 2024, POR ESTIMATIVA.")</f>
        <v>LOCAÇÃO DE IMÓVEL CONFORME CONTRATO 19/2014 REFERENTE ÀS PROMOTORIAS DE JUSTIÇA DA INFÂNCIA E JUVENTUDE RELATIVO AO MES DE FEVEREIRO E MARÇO DE 2024, POR ESTIMATIVA.</v>
      </c>
      <c r="F116" s="3" t="s">
        <v>127</v>
      </c>
      <c r="G116" s="6" t="str">
        <f>HYPERLINK("http://www8.mpce.mp.br/Empenhos/150501/NE/2024NE000152.pdf","2024NE000152")</f>
        <v>2024NE000152</v>
      </c>
      <c r="H116" s="7">
        <v>14538.26</v>
      </c>
      <c r="I116" s="8" t="s">
        <v>175</v>
      </c>
      <c r="J116" s="12" t="s">
        <v>176</v>
      </c>
    </row>
    <row r="117" spans="1:10" ht="51" x14ac:dyDescent="0.25">
      <c r="A117" s="2" t="s">
        <v>45</v>
      </c>
      <c r="B117" s="3" t="s">
        <v>289</v>
      </c>
      <c r="C117" s="4" t="str">
        <f>HYPERLINK("http://www8.mpce.mp.br/Dispensa/575920103.pdf","5759/2010-3")</f>
        <v>5759/2010-3</v>
      </c>
      <c r="D117" s="5">
        <v>45342</v>
      </c>
      <c r="E117" s="9" t="str">
        <f>HYPERLINK("https://www8.mpce.mp.br/Empenhos/150001/Objeto/22-2010.pdf","EMPENHO DE LOCAÇÃO DE IMÓVEIS ONDE FUNCIONAM AS PROMOTORIAS DE JUSTIÇA DE GUAIÚBA, CONTRATO 022/2010/PGJ REFERENTE AOS MESES DE FEV E MARÇO DE 2024.")</f>
        <v>EMPENHO DE LOCAÇÃO DE IMÓVEIS ONDE FUNCIONAM AS PROMOTORIAS DE JUSTIÇA DE GUAIÚBA, CONTRATO 022/2010/PGJ REFERENTE AOS MESES DE FEV E MARÇO DE 2024.</v>
      </c>
      <c r="F117" s="3" t="s">
        <v>172</v>
      </c>
      <c r="G117" s="6" t="str">
        <f>HYPERLINK("http://www8.mpce.mp.br/Empenhos/150501/NE/2024NE000153.pdf","2024NE000153")</f>
        <v>2024NE000153</v>
      </c>
      <c r="H117" s="7">
        <v>4683.9399999999996</v>
      </c>
      <c r="I117" s="8" t="s">
        <v>222</v>
      </c>
      <c r="J117" s="12" t="s">
        <v>223</v>
      </c>
    </row>
    <row r="118" spans="1:10" ht="51" x14ac:dyDescent="0.25">
      <c r="A118" s="2" t="s">
        <v>45</v>
      </c>
      <c r="B118" s="3" t="s">
        <v>288</v>
      </c>
      <c r="C118" s="4" t="str">
        <f>HYPERLINK("http://www8.mpce.mp.br/Dispensa/2826420164.pdf","28264/2016-4")</f>
        <v>28264/2016-4</v>
      </c>
      <c r="D118" s="5">
        <v>45349</v>
      </c>
      <c r="E118" s="9" t="str">
        <f>HYPERLINK("https://www8.mpce.mp.br/Empenhos/150001/Objeto/26-2016.pdf","LOCAÇÃO DE IMÓVEL CONFORME CONTRATO 26/2016 DOS CENTROS DE APOIO OPERACIONAL E ÓRGÃOS DE INVESTIGAÇÃO REFERENTE AO MES DE FEVEREIRO E MARÇO DE 2024, POR ESTIMATIVA.")</f>
        <v>LOCAÇÃO DE IMÓVEL CONFORME CONTRATO 26/2016 DOS CENTROS DE APOIO OPERACIONAL E ÓRGÃOS DE INVESTIGAÇÃO REFERENTE AO MES DE FEVEREIRO E MARÇO DE 2024, POR ESTIMATIVA.</v>
      </c>
      <c r="F118" s="3" t="s">
        <v>127</v>
      </c>
      <c r="G118" s="6" t="str">
        <f>HYPERLINK("http://www8.mpce.mp.br/Empenhos/150501/NE/2024NE000154.pdf","2024NE000154")</f>
        <v>2024NE000154</v>
      </c>
      <c r="H118" s="7">
        <v>123917.06</v>
      </c>
      <c r="I118" s="8" t="s">
        <v>153</v>
      </c>
      <c r="J118" s="12" t="s">
        <v>154</v>
      </c>
    </row>
    <row r="119" spans="1:10" ht="38.25" x14ac:dyDescent="0.25">
      <c r="A119" s="2" t="s">
        <v>45</v>
      </c>
      <c r="B119" s="3" t="s">
        <v>275</v>
      </c>
      <c r="C119" s="4" t="str">
        <f>HYPERLINK("https://transparencia-area-fim.mpce.mp.br/#/consulta/processo/pastadigital/092021000063220","09.2021.00006322-0")</f>
        <v>09.2021.00006322-0</v>
      </c>
      <c r="D119" s="5">
        <v>45342</v>
      </c>
      <c r="E119" s="9" t="str">
        <f>HYPERLINK("https://www8.mpce.mp.br/Empenhos/150001/Objeto/33-2021.pdf","LOCAÇÃO DE IMÓVEL CONFORME CONTRATO 33/2021 DAS PROMOTORIAS DE JUSTIÇA DE SOBRAL REFERENTE AO MES DE FEVEREIRO E MARÇO DE 2024, POR ESTIMATIVA.")</f>
        <v>LOCAÇÃO DE IMÓVEL CONFORME CONTRATO 33/2021 DAS PROMOTORIAS DE JUSTIÇA DE SOBRAL REFERENTE AO MES DE FEVEREIRO E MARÇO DE 2024, POR ESTIMATIVA.</v>
      </c>
      <c r="F119" s="3" t="s">
        <v>127</v>
      </c>
      <c r="G119" s="6" t="str">
        <f>HYPERLINK("http://www8.mpce.mp.br/Empenhos/150501/NE/2024NE000155.pdf","2024NE000155")</f>
        <v>2024NE000155</v>
      </c>
      <c r="H119" s="7">
        <v>66800.22</v>
      </c>
      <c r="I119" s="8" t="s">
        <v>145</v>
      </c>
      <c r="J119" s="12" t="s">
        <v>146</v>
      </c>
    </row>
    <row r="120" spans="1:10" ht="51" x14ac:dyDescent="0.25">
      <c r="A120" s="2" t="s">
        <v>45</v>
      </c>
      <c r="B120" s="3" t="s">
        <v>290</v>
      </c>
      <c r="C120" s="4" t="str">
        <f>HYPERLINK("https://transparencia-area-fim.mpce.mp.br/#/consulta/processo/pastadigital/092021000155016","09.2021.00015501-6")</f>
        <v>09.2021.00015501-6</v>
      </c>
      <c r="D120" s="5">
        <v>45342</v>
      </c>
      <c r="E120" s="9" t="str">
        <f>HYPERLINK("https://www8.mpce.mp.br/Empenhos/150001/Objeto/26-2021.pdf","EMPENHO DE LOCAÇÃO DE IMÓVEIS ONDE FUNCIONAM AS PROMOTORIAS DE JUSTIÇA DE BREJO SANTO, CONTRATO 026/2021/PGJ REFERENTE AOS MESES DE FEV E MARÇO DE 2024.")</f>
        <v>EMPENHO DE LOCAÇÃO DE IMÓVEIS ONDE FUNCIONAM AS PROMOTORIAS DE JUSTIÇA DE BREJO SANTO, CONTRATO 026/2021/PGJ REFERENTE AOS MESES DE FEV E MARÇO DE 2024.</v>
      </c>
      <c r="F120" s="3" t="s">
        <v>172</v>
      </c>
      <c r="G120" s="6" t="str">
        <f>HYPERLINK("http://www8.mpce.mp.br/Empenhos/150501/NE/2024NE000156.pdf","2024NE000156")</f>
        <v>2024NE000156</v>
      </c>
      <c r="H120" s="7">
        <v>5203.1000000000004</v>
      </c>
      <c r="I120" s="8" t="s">
        <v>214</v>
      </c>
      <c r="J120" s="12" t="s">
        <v>215</v>
      </c>
    </row>
    <row r="121" spans="1:10" ht="38.25" x14ac:dyDescent="0.25">
      <c r="A121" s="2" t="s">
        <v>45</v>
      </c>
      <c r="B121" s="3" t="s">
        <v>291</v>
      </c>
      <c r="C121" s="4" t="str">
        <f>HYPERLINK("https://transparencia-area-fim.mpce.mp.br/#/consulta/processo/pastadigital/092022000264193","09.2022.00026419-3")</f>
        <v>09.2022.00026419-3</v>
      </c>
      <c r="D121" s="5">
        <v>45342</v>
      </c>
      <c r="E121" s="9" t="str">
        <f>HYPERLINK("https://www8.mpce.mp.br/Empenhos/150001/Objeto/28-2022.pdf","LOCAÇÃO DE IMÓVEIS ONDE FUNCIONAM AS PROMOTORIAS DE JUSTIÇA DE AURORA, CONTRATO 028/2022/PGJ REFERENTE AOS MESES DE FEV E MARÇO DE 2024.")</f>
        <v>LOCAÇÃO DE IMÓVEIS ONDE FUNCIONAM AS PROMOTORIAS DE JUSTIÇA DE AURORA, CONTRATO 028/2022/PGJ REFERENTE AOS MESES DE FEV E MARÇO DE 2024.</v>
      </c>
      <c r="F121" s="3" t="s">
        <v>172</v>
      </c>
      <c r="G121" s="6" t="str">
        <f>HYPERLINK("http://www8.mpce.mp.br/Empenhos/150501/NE/2024NE000157.pdf","2024NE000157")</f>
        <v>2024NE000157</v>
      </c>
      <c r="H121" s="7">
        <v>4000</v>
      </c>
      <c r="I121" s="8" t="s">
        <v>212</v>
      </c>
      <c r="J121" s="12" t="s">
        <v>213</v>
      </c>
    </row>
    <row r="122" spans="1:10" ht="38.25" x14ac:dyDescent="0.25">
      <c r="A122" s="2" t="s">
        <v>20</v>
      </c>
      <c r="B122" s="3" t="s">
        <v>21</v>
      </c>
      <c r="C122" s="4" t="str">
        <f>HYPERLINK("https://transparencia-area-fim.mpce.mp.br/#/consulta/processo/pastadigital/092023000293915","09.2023.00029391-5")</f>
        <v>09.2023.00029391-5</v>
      </c>
      <c r="D122" s="5">
        <v>45342</v>
      </c>
      <c r="E122" s="9" t="str">
        <f>HYPERLINK("https://www8.mpce.mp.br/Empenhos/150001/Objeto/54-2023.pdf","LOCAÇÃO DE IMÓVEL, CONFORME CONTRATO 54/2023, DO GALPÃO DO ALMOXARIFADO REFERENTE AO MES DE FEVEREIRO E MARÇO DE 2024, POR ESTIMATIVA.")</f>
        <v>LOCAÇÃO DE IMÓVEL, CONFORME CONTRATO 54/2023, DO GALPÃO DO ALMOXARIFADO REFERENTE AO MES DE FEVEREIRO E MARÇO DE 2024, POR ESTIMATIVA.</v>
      </c>
      <c r="F122" s="3" t="s">
        <v>127</v>
      </c>
      <c r="G122" s="6" t="str">
        <f>HYPERLINK("http://www8.mpce.mp.br/Empenhos/150501/NE/2024NE000158.pdf","2024NE000158")</f>
        <v>2024NE000158</v>
      </c>
      <c r="H122" s="7">
        <v>44000</v>
      </c>
      <c r="I122" s="8" t="s">
        <v>164</v>
      </c>
      <c r="J122" s="12" t="s">
        <v>165</v>
      </c>
    </row>
    <row r="123" spans="1:10" ht="38.25" x14ac:dyDescent="0.25">
      <c r="A123" s="2" t="s">
        <v>45</v>
      </c>
      <c r="B123" s="3" t="s">
        <v>292</v>
      </c>
      <c r="C123" s="4" t="str">
        <f>HYPERLINK("https://transparencia-area-fim.mpce.mp.br/#/consulta/processo/pastadigital/092022000091296","09.2022.00009129-6")</f>
        <v>09.2022.00009129-6</v>
      </c>
      <c r="D123" s="5">
        <v>45342</v>
      </c>
      <c r="E123" s="9" t="str">
        <f>HYPERLINK("https://www8.mpce.mp.br/Empenhos/150001/Objeto/33-2022.pdf","LOCAÇÃO DE IMÓVEIS ONDE FUNCIONAM AS PROMOTORIAS DE JUSTIÇA DE VÁRZEA ALEGRE, CONTRATO 033/2022/PGJ REFERENTE AOS MESES DE FEV E MARÇO DE 2024.")</f>
        <v>LOCAÇÃO DE IMÓVEIS ONDE FUNCIONAM AS PROMOTORIAS DE JUSTIÇA DE VÁRZEA ALEGRE, CONTRATO 033/2022/PGJ REFERENTE AOS MESES DE FEV E MARÇO DE 2024.</v>
      </c>
      <c r="F123" s="3" t="s">
        <v>172</v>
      </c>
      <c r="G123" s="6" t="str">
        <f>HYPERLINK("http://www8.mpce.mp.br/Empenhos/150501/NE/2024NE000159.pdf","2024NE000159")</f>
        <v>2024NE000159</v>
      </c>
      <c r="H123" s="7">
        <v>1600</v>
      </c>
      <c r="I123" s="8" t="s">
        <v>208</v>
      </c>
      <c r="J123" s="12" t="s">
        <v>209</v>
      </c>
    </row>
    <row r="124" spans="1:10" ht="38.25" x14ac:dyDescent="0.25">
      <c r="A124" s="2" t="s">
        <v>45</v>
      </c>
      <c r="B124" s="3" t="s">
        <v>275</v>
      </c>
      <c r="C124" s="4" t="str">
        <f>HYPERLINK("https://transparencia-area-fim.mpce.mp.br/#/consulta/processo/pastadigital/092021000244271","09.2021.00024427-1")</f>
        <v>09.2021.00024427-1</v>
      </c>
      <c r="D124" s="5">
        <v>45342</v>
      </c>
      <c r="E124" s="9" t="str">
        <f>HYPERLINK("https://www8.mpce.mp.br/Empenhos/150001/Objeto/17-2022.pdf","LOCAÇÃO DE IMÓVEL CONFORME CONTRATO 17/2022 DAS PROMOTORIAS DE JUSTIÇA DE TIANGUÁ REFERENTE AO MES DE FEVEREIRO E MARÇO DE 2024, POR ESTIMATIVA.")</f>
        <v>LOCAÇÃO DE IMÓVEL CONFORME CONTRATO 17/2022 DAS PROMOTORIAS DE JUSTIÇA DE TIANGUÁ REFERENTE AO MES DE FEVEREIRO E MARÇO DE 2024, POR ESTIMATIVA.</v>
      </c>
      <c r="F124" s="3" t="s">
        <v>127</v>
      </c>
      <c r="G124" s="6" t="str">
        <f>HYPERLINK("http://www8.mpce.mp.br/Empenhos/150501/NE/2024NE000160.pdf","2024NE000160")</f>
        <v>2024NE000160</v>
      </c>
      <c r="H124" s="7">
        <v>52000</v>
      </c>
      <c r="I124" s="8" t="s">
        <v>186</v>
      </c>
      <c r="J124" s="12" t="s">
        <v>187</v>
      </c>
    </row>
    <row r="125" spans="1:10" ht="38.25" x14ac:dyDescent="0.25">
      <c r="A125" s="2" t="s">
        <v>20</v>
      </c>
      <c r="B125" s="3" t="s">
        <v>293</v>
      </c>
      <c r="C125" s="4" t="str">
        <f>HYPERLINK("https://transparencia-area-fim.mpce.mp.br/#/consulta/processo/pastadigital/092022000426227","09.2022.00042622-7")</f>
        <v>09.2022.00042622-7</v>
      </c>
      <c r="D125" s="5">
        <v>45342</v>
      </c>
      <c r="E125" s="9" t="str">
        <f>HYPERLINK("https://www8.mpce.mp.br/Empenhos/150001/Objeto/33-2023.pdf","LOCAÇÃO DE IMÓVEIS ONDE FUNCIONAM AS PROMOTORIAS DE JUSTIÇA DE JUCÁS, CONTRATO 033/2023/PGJ REFERENTE AOS MESES DE FEV E MARÇO DE 2024.")</f>
        <v>LOCAÇÃO DE IMÓVEIS ONDE FUNCIONAM AS PROMOTORIAS DE JUSTIÇA DE JUCÁS, CONTRATO 033/2023/PGJ REFERENTE AOS MESES DE FEV E MARÇO DE 2024.</v>
      </c>
      <c r="F125" s="3" t="s">
        <v>172</v>
      </c>
      <c r="G125" s="6" t="str">
        <f>HYPERLINK("http://www8.mpce.mp.br/Empenhos/150501/NE/2024NE000161.pdf","2024NE000161")</f>
        <v>2024NE000161</v>
      </c>
      <c r="H125" s="7">
        <v>5000</v>
      </c>
      <c r="I125" s="8" t="s">
        <v>206</v>
      </c>
      <c r="J125" s="12" t="s">
        <v>207</v>
      </c>
    </row>
    <row r="126" spans="1:10" ht="51" x14ac:dyDescent="0.25">
      <c r="A126" s="2" t="s">
        <v>45</v>
      </c>
      <c r="B126" s="3" t="s">
        <v>171</v>
      </c>
      <c r="C126" s="4" t="str">
        <f>HYPERLINK("http://www8.mpce.mp.br/Dispensa/4793720162.pdf","4793720162")</f>
        <v>4793720162</v>
      </c>
      <c r="D126" s="5">
        <v>45342</v>
      </c>
      <c r="E126" s="9" t="str">
        <f>HYPERLINK("https://www8.mpce.mp.br/Empenhos/150001/Objeto/14-2017.pdf","LOCAÇÃO DE IMÓVEL, CONFORME CONTRATO 14/2017, RELATIVO AO GALPÃO DO ALMOXARIFADO (RUA NEUZINHA PARENTE, 610), REFERENTE A FEVEREIRO E MARÇO DE 2024 - POR ESTIMATIVA.")</f>
        <v>LOCAÇÃO DE IMÓVEL, CONFORME CONTRATO 14/2017, RELATIVO AO GALPÃO DO ALMOXARIFADO (RUA NEUZINHA PARENTE, 610), REFERENTE A FEVEREIRO E MARÇO DE 2024 - POR ESTIMATIVA.</v>
      </c>
      <c r="F126" s="3" t="s">
        <v>127</v>
      </c>
      <c r="G126" s="6" t="str">
        <f>HYPERLINK("http://www8.mpce.mp.br/Empenhos/150501/NE/2024NE000162.pdf","2024NE000162")</f>
        <v>2024NE000162</v>
      </c>
      <c r="H126" s="7">
        <v>44286.96</v>
      </c>
      <c r="I126" s="8" t="s">
        <v>164</v>
      </c>
      <c r="J126" s="12" t="s">
        <v>165</v>
      </c>
    </row>
    <row r="127" spans="1:10" ht="38.25" x14ac:dyDescent="0.25">
      <c r="A127" s="2" t="s">
        <v>20</v>
      </c>
      <c r="B127" s="3" t="s">
        <v>294</v>
      </c>
      <c r="C127" s="4" t="str">
        <f>HYPERLINK("https://transparencia-area-fim.mpce.mp.br/#/consulta/processo/pastadigital/092022000371847","09.2022.00037184-7")</f>
        <v>09.2022.00037184-7</v>
      </c>
      <c r="D127" s="5">
        <v>45342</v>
      </c>
      <c r="E127" s="9" t="str">
        <f>HYPERLINK("https://www8.mpce.mp.br/Empenhos/150001/Objeto/44-2023.pdf","LOCAÇÃO DE IMÓVEIS ONDE FUNCIONAM AS PROMOTORIAS DE JUSTIÇA DE MARCO, CONTRATO 044/2023/PGJ REFERENTE AO MES DE FEV E MARÇO DE 2024.")</f>
        <v>LOCAÇÃO DE IMÓVEIS ONDE FUNCIONAM AS PROMOTORIAS DE JUSTIÇA DE MARCO, CONTRATO 044/2023/PGJ REFERENTE AO MES DE FEV E MARÇO DE 2024.</v>
      </c>
      <c r="F127" s="3" t="s">
        <v>172</v>
      </c>
      <c r="G127" s="6" t="str">
        <f>HYPERLINK("http://www8.mpce.mp.br/Empenhos/150501/NE/2024NE000163.pdf","2024NE000163")</f>
        <v>2024NE000163</v>
      </c>
      <c r="H127" s="7">
        <v>2400</v>
      </c>
      <c r="I127" s="8" t="s">
        <v>193</v>
      </c>
      <c r="J127" s="12" t="s">
        <v>194</v>
      </c>
    </row>
    <row r="128" spans="1:10" ht="51" x14ac:dyDescent="0.25">
      <c r="A128" s="2" t="s">
        <v>45</v>
      </c>
      <c r="B128" s="3" t="s">
        <v>171</v>
      </c>
      <c r="C128" s="4" t="str">
        <f>HYPERLINK("http://www8.mpce.mp.br/Dispensa/4572720144.pdf","45727/2014-4")</f>
        <v>45727/2014-4</v>
      </c>
      <c r="D128" s="5">
        <v>45342</v>
      </c>
      <c r="E128" s="9" t="str">
        <f>HYPERLINK("https://www8.mpce.mp.br/Empenhos/150001/Objeto/01-2015.pdf","LOCAÇÃO DE IMÓVEIS ONDE FUNCIONAM AS PROMOTORIAS DE JUSTIÇA DE JUAZEIRO DO NORTE, CONFORME CONTRATO 001/2015/PGJ RELATIVOS AS COMPETÊNCIAS DE FEVEREIRO E MARÇO DE 2024 - POR ESTIMATIVA.")</f>
        <v>LOCAÇÃO DE IMÓVEIS ONDE FUNCIONAM AS PROMOTORIAS DE JUSTIÇA DE JUAZEIRO DO NORTE, CONFORME CONTRATO 001/2015/PGJ RELATIVOS AS COMPETÊNCIAS DE FEVEREIRO E MARÇO DE 2024 - POR ESTIMATIVA.</v>
      </c>
      <c r="F128" s="3" t="s">
        <v>127</v>
      </c>
      <c r="G128" s="6" t="str">
        <f>HYPERLINK("http://www8.mpce.mp.br/Empenhos/150501/NE/2024NE000164.pdf","2024NE000164")</f>
        <v>2024NE000164</v>
      </c>
      <c r="H128" s="7">
        <v>65525.26</v>
      </c>
      <c r="I128" s="8" t="s">
        <v>226</v>
      </c>
      <c r="J128" s="12" t="s">
        <v>227</v>
      </c>
    </row>
    <row r="129" spans="1:10" ht="51" x14ac:dyDescent="0.25">
      <c r="A129" s="2" t="s">
        <v>45</v>
      </c>
      <c r="B129" s="3" t="s">
        <v>295</v>
      </c>
      <c r="C129" s="4" t="str">
        <f>HYPERLINK("http://www8.mpce.mp.br/Dispensa/2826420164.pdf","28264/2016-4")</f>
        <v>28264/2016-4</v>
      </c>
      <c r="D129" s="5">
        <v>45342</v>
      </c>
      <c r="E129" s="9" t="str">
        <f>HYPERLINK("https://www8.mpce.mp.br/Empenhos/150001/Objeto/26-2016.pdf","EMPENHO DE IPTU/2024, REFERENTE A 1ª PARCELA, ONDE FUNCIONAM OS CENTROS DE APOIO E INVESTIGAÇÃO, LOCALIZADA NA AVENIDA ANTÔNIO SALES, 1740, DIONÍSIO TORRES, CONF. CONTRATO Nº026/2016/PGJ.")</f>
        <v>EMPENHO DE IPTU/2024, REFERENTE A 1ª PARCELA, ONDE FUNCIONAM OS CENTROS DE APOIO E INVESTIGAÇÃO, LOCALIZADA NA AVENIDA ANTÔNIO SALES, 1740, DIONÍSIO TORRES, CONF. CONTRATO Nº026/2016/PGJ.</v>
      </c>
      <c r="F129" s="3" t="s">
        <v>264</v>
      </c>
      <c r="G129" s="6" t="str">
        <f>HYPERLINK("http://www8.mpce.mp.br/Empenhos/150501/NE/2024NE000165.pdf","2024NE000165")</f>
        <v>2024NE000165</v>
      </c>
      <c r="H129" s="7">
        <v>3155.42</v>
      </c>
      <c r="I129" s="8" t="s">
        <v>153</v>
      </c>
      <c r="J129" s="12" t="s">
        <v>154</v>
      </c>
    </row>
    <row r="130" spans="1:10" ht="51" x14ac:dyDescent="0.25">
      <c r="A130" s="2" t="s">
        <v>45</v>
      </c>
      <c r="B130" s="3" t="s">
        <v>171</v>
      </c>
      <c r="C130" s="4" t="str">
        <f>HYPERLINK("http://www8.mpce.mp.br/Dispensa/1984020196.pdf","19840/2019-6")</f>
        <v>19840/2019-6</v>
      </c>
      <c r="D130" s="5">
        <v>45342</v>
      </c>
      <c r="E130" s="9" t="str">
        <f>HYPERLINK("https://www8.mpce.mp.br/Empenhos/150001/Objeto/48-2019.pdf","LOCAÇÃO DE IMÓVEIS ONDE FUNCIONAM AS PROMOTORIAS DE JUSTIÇA DE CAUCAIA, CONFORME CONTRATO 048/2019/PGJ RELATIVOS AS COMPETÊNCIAS DE FEVEREIRO E MARÇO DE 2024 - POR ESTIMATIVA.")</f>
        <v>LOCAÇÃO DE IMÓVEIS ONDE FUNCIONAM AS PROMOTORIAS DE JUSTIÇA DE CAUCAIA, CONFORME CONTRATO 048/2019/PGJ RELATIVOS AS COMPETÊNCIAS DE FEVEREIRO E MARÇO DE 2024 - POR ESTIMATIVA.</v>
      </c>
      <c r="F130" s="3" t="s">
        <v>127</v>
      </c>
      <c r="G130" s="6" t="str">
        <f>HYPERLINK("http://www8.mpce.mp.br/Empenhos/150501/NE/2024NE000166.pdf","2024NE000166")</f>
        <v>2024NE000166</v>
      </c>
      <c r="H130" s="7">
        <v>91025.54</v>
      </c>
      <c r="I130" s="8" t="s">
        <v>162</v>
      </c>
      <c r="J130" s="12" t="s">
        <v>163</v>
      </c>
    </row>
    <row r="131" spans="1:10" ht="38.25" x14ac:dyDescent="0.25">
      <c r="A131" s="2" t="s">
        <v>45</v>
      </c>
      <c r="B131" s="3" t="s">
        <v>296</v>
      </c>
      <c r="C131" s="4" t="str">
        <f>HYPERLINK("https://transparencia-area-fim.mpce.mp.br/#/consulta/processo/pastadigital/092022000276145","09.2022.00027614-5")</f>
        <v>09.2022.00027614-5</v>
      </c>
      <c r="D131" s="5">
        <v>45342</v>
      </c>
      <c r="E131" s="9" t="str">
        <f>HYPERLINK("https://www8.mpce.mp.br/Empenhos/150001/Objeto/36-2022.pdf","LOCAÇÃO DE IMÓVEL ONDE FUNCIONAM AS PROMOTORIAS DE JUSTIÇA DE ARARIPE, CONTRATO 036/2022/PGJ REFERENTE AOS MESES DE FEV E MARÇO DE 2024.")</f>
        <v>LOCAÇÃO DE IMÓVEL ONDE FUNCIONAM AS PROMOTORIAS DE JUSTIÇA DE ARARIPE, CONTRATO 036/2022/PGJ REFERENTE AOS MESES DE FEV E MARÇO DE 2024.</v>
      </c>
      <c r="F131" s="3" t="s">
        <v>172</v>
      </c>
      <c r="G131" s="6" t="str">
        <f>HYPERLINK("http://www8.mpce.mp.br/Empenhos/150501/NE/2024NE000167.pdf","2024NE000167")</f>
        <v>2024NE000167</v>
      </c>
      <c r="H131" s="7">
        <v>3000</v>
      </c>
      <c r="I131" s="8" t="s">
        <v>202</v>
      </c>
      <c r="J131" s="12" t="s">
        <v>203</v>
      </c>
    </row>
    <row r="132" spans="1:10" ht="76.5" x14ac:dyDescent="0.25">
      <c r="A132" s="2" t="s">
        <v>45</v>
      </c>
      <c r="B132" s="3" t="s">
        <v>171</v>
      </c>
      <c r="C132" s="4" t="str">
        <f>HYPERLINK("http://www8.mpce.mp.br/Dispensa/842220170.pdf","8422/20170")</f>
        <v>8422/20170</v>
      </c>
      <c r="D132" s="5">
        <v>45342</v>
      </c>
      <c r="E132" s="9" t="str">
        <f>HYPERLINK("https://www8.mpce.mp.br/Empenhos/150001/Objeto/16-2017.pdf","LOCAÇÃO DE IMÓVEIS ONDE FUNCIONAM AS PROCURADORIAS DE JUSTIÇA, PROCAP E GECOC (RUA CORONEL JOSÉ PHILOMENO, 222, ENG. LUCIANO CAVALCANTE), CONFORME CONTRATO 016/2017/PGJ RELATIVOS AS COMPETÊNCIAS DE FEVEREIRO E MARÇO DE 2024 - POR ESTIMATIVA.")</f>
        <v>LOCAÇÃO DE IMÓVEIS ONDE FUNCIONAM AS PROCURADORIAS DE JUSTIÇA, PROCAP E GECOC (RUA CORONEL JOSÉ PHILOMENO, 222, ENG. LUCIANO CAVALCANTE), CONFORME CONTRATO 016/2017/PGJ RELATIVOS AS COMPETÊNCIAS DE FEVEREIRO E MARÇO DE 2024 - POR ESTIMATIVA.</v>
      </c>
      <c r="F132" s="3" t="s">
        <v>127</v>
      </c>
      <c r="G132" s="6" t="str">
        <f>HYPERLINK("http://www8.mpce.mp.br/Empenhos/150501/NE/2024NE000168.pdf","2024NE000168")</f>
        <v>2024NE000168</v>
      </c>
      <c r="H132" s="7">
        <v>117821.94</v>
      </c>
      <c r="I132" s="8" t="s">
        <v>169</v>
      </c>
      <c r="J132" s="12" t="s">
        <v>170</v>
      </c>
    </row>
    <row r="133" spans="1:10" ht="38.25" x14ac:dyDescent="0.25">
      <c r="A133" s="2" t="s">
        <v>45</v>
      </c>
      <c r="B133" s="3" t="s">
        <v>297</v>
      </c>
      <c r="C133" s="4" t="str">
        <f>HYPERLINK("https://transparencia-area-fim.mpce.mp.br/#/consulta/processo/pastadigital/092021000065217","09.2021.00006521-7")</f>
        <v>09.2021.00006521-7</v>
      </c>
      <c r="D133" s="5">
        <v>45342</v>
      </c>
      <c r="E133" s="9" t="str">
        <f>HYPERLINK("https://www8.mpce.mp.br/Empenhos/150001/Objeto/38-2021.pdf","EMPENHO DOS ALUGUÉIS DOS MESES DE FEV E MARÇO DE 2024, ONDE FUNCIONAM AS PROMOTORIAS DE JUSTIÇA DA COMARCA DE TAUÁ, CONF. CONTRATO 038/2021/PGJ.")</f>
        <v>EMPENHO DOS ALUGUÉIS DOS MESES DE FEV E MARÇO DE 2024, ONDE FUNCIONAM AS PROMOTORIAS DE JUSTIÇA DA COMARCA DE TAUÁ, CONF. CONTRATO 038/2021/PGJ.</v>
      </c>
      <c r="F133" s="3" t="s">
        <v>127</v>
      </c>
      <c r="G133" s="6" t="str">
        <f>HYPERLINK("http://www8.mpce.mp.br/Empenhos/150501/NE/2024NE000169.pdf","2024NE000169")</f>
        <v>2024NE000169</v>
      </c>
      <c r="H133" s="7">
        <v>36000</v>
      </c>
      <c r="I133" s="8" t="s">
        <v>157</v>
      </c>
      <c r="J133" s="12" t="s">
        <v>158</v>
      </c>
    </row>
    <row r="134" spans="1:10" ht="51" x14ac:dyDescent="0.25">
      <c r="A134" s="2" t="s">
        <v>45</v>
      </c>
      <c r="B134" s="3" t="s">
        <v>171</v>
      </c>
      <c r="C134" s="4" t="str">
        <f>HYPERLINK("http://www8.mpce.mp.br/Dispensa/2887720171.pdf","28877/2017-1")</f>
        <v>28877/2017-1</v>
      </c>
      <c r="D134" s="5">
        <v>45342</v>
      </c>
      <c r="E134" s="9" t="str">
        <f>HYPERLINK("https://www8.mpce.mp.br/Empenhos/150001/Objeto/24-2019.pdf","LOCAÇÃO DE IMÓVEIS ONDE FUNCIONAM AS PROMOTORIAS DE JUSTIÇA DE JAGUARIBE, CONFORME CONTRATO 024/2019/PGJ RELATIVOS AS COMPETÊNCIAS DE FEVEREIRO DE 2024 - POR ESTIMATIVA")</f>
        <v>LOCAÇÃO DE IMÓVEIS ONDE FUNCIONAM AS PROMOTORIAS DE JUSTIÇA DE JAGUARIBE, CONFORME CONTRATO 024/2019/PGJ RELATIVOS AS COMPETÊNCIAS DE FEVEREIRO DE 2024 - POR ESTIMATIVA</v>
      </c>
      <c r="F134" s="3" t="s">
        <v>127</v>
      </c>
      <c r="G134" s="6" t="str">
        <f>HYPERLINK("http://www8.mpce.mp.br/Empenhos/150501/NE/2024NE000170.pdf","2024NE000170")</f>
        <v>2024NE000170</v>
      </c>
      <c r="H134" s="7">
        <v>1431.35</v>
      </c>
      <c r="I134" s="8" t="s">
        <v>151</v>
      </c>
      <c r="J134" s="12" t="s">
        <v>152</v>
      </c>
    </row>
    <row r="135" spans="1:10" ht="51" x14ac:dyDescent="0.25">
      <c r="A135" s="2" t="s">
        <v>20</v>
      </c>
      <c r="B135" s="3" t="s">
        <v>298</v>
      </c>
      <c r="C135" s="4" t="str">
        <f>HYPERLINK("https://transparencia-area-fim.mpce.mp.br/#/consulta/processo/pastadigital/092023000214163","09.2023.00021416-3")</f>
        <v>09.2023.00021416-3</v>
      </c>
      <c r="D135" s="5">
        <v>45342</v>
      </c>
      <c r="E135" s="9" t="str">
        <f>HYPERLINK("https://www8.mpce.mp.br/Empenhos/150001/Objeto/56-2023.pdf","LOCAÇÃO DE IMÓVEIS ONDE FUNCIONAM AS PROMOTORIAS DE JUSTIÇA DE BATURITÉ, CONFORME CONTRATO 056/2023/PGJ RELATIVOS AS COMPETÊNCIAS DE FEVEREIRO E MARÇO DE 2024 - POR ESTIMATIVA.")</f>
        <v>LOCAÇÃO DE IMÓVEIS ONDE FUNCIONAM AS PROMOTORIAS DE JUSTIÇA DE BATURITÉ, CONFORME CONTRATO 056/2023/PGJ RELATIVOS AS COMPETÊNCIAS DE FEVEREIRO E MARÇO DE 2024 - POR ESTIMATIVA.</v>
      </c>
      <c r="F135" s="3" t="s">
        <v>127</v>
      </c>
      <c r="G135" s="6" t="str">
        <f>HYPERLINK("http://www8.mpce.mp.br/Empenhos/150501/NE/2024NE000171.pdf","2024NE000171")</f>
        <v>2024NE000171</v>
      </c>
      <c r="H135" s="7">
        <v>10800</v>
      </c>
      <c r="I135" s="8" t="s">
        <v>167</v>
      </c>
      <c r="J135" s="12" t="s">
        <v>168</v>
      </c>
    </row>
    <row r="136" spans="1:10" ht="51" x14ac:dyDescent="0.25">
      <c r="A136" s="2" t="s">
        <v>45</v>
      </c>
      <c r="B136" s="3" t="s">
        <v>299</v>
      </c>
      <c r="C136" s="4" t="str">
        <f>HYPERLINK("https://transparencia-area-fim.mpce.mp.br/#/consulta/processo/pastadigital/092022000230870","09.2022.00023087-0")</f>
        <v>09.2022.00023087-0</v>
      </c>
      <c r="D136" s="5">
        <v>45342</v>
      </c>
      <c r="E136" s="9" t="str">
        <f>HYPERLINK("https://www8.mpce.mp.br/Empenhos/150001/Objeto/29-2022.pdf","LOCAÇÃO DE IMÓVEIS ONDE FUNCIONAM AS PROMOTORIAS DE JUSTIÇA DE JUAZEIRO DO NORTE, CONFORME CONTRATO 029/2022/PGJ RELATIVOS AS COMPETÊNCIAS DE FEVEREIRO E MARÇO DE 2024 - POR ESTIMATIVA.")</f>
        <v>LOCAÇÃO DE IMÓVEIS ONDE FUNCIONAM AS PROMOTORIAS DE JUSTIÇA DE JUAZEIRO DO NORTE, CONFORME CONTRATO 029/2022/PGJ RELATIVOS AS COMPETÊNCIAS DE FEVEREIRO E MARÇO DE 2024 - POR ESTIMATIVA.</v>
      </c>
      <c r="F136" s="3" t="s">
        <v>127</v>
      </c>
      <c r="G136" s="6" t="str">
        <f>HYPERLINK("http://www8.mpce.mp.br/Empenhos/150501/NE/2024NE000172.pdf","2024NE000172")</f>
        <v>2024NE000172</v>
      </c>
      <c r="H136" s="7">
        <v>132322.82</v>
      </c>
      <c r="I136" s="8" t="s">
        <v>143</v>
      </c>
      <c r="J136" s="12" t="s">
        <v>144</v>
      </c>
    </row>
    <row r="137" spans="1:10" ht="51" x14ac:dyDescent="0.25">
      <c r="A137" s="2" t="s">
        <v>45</v>
      </c>
      <c r="B137" s="3" t="s">
        <v>147</v>
      </c>
      <c r="C137" s="4" t="str">
        <f>HYPERLINK("https://transparencia-area-fim.mpce.mp.br/#/consulta/processo/pastadigital/092022000081432","09.2022.00008143-2")</f>
        <v>09.2022.00008143-2</v>
      </c>
      <c r="D137" s="5">
        <v>45342</v>
      </c>
      <c r="E137" s="9" t="str">
        <f>HYPERLINK("https://www8.mpce.mp.br/Empenhos/150001/Objeto/16-2022.pdf","LOCAÇÃO DE IMÓVEIS ONDE FUNCIONAM AS PROMOTORIAS DE JUSTIÇA DE BARBALHA, CONFORME CONTRATO 016/2022/PGJ RELATIVOS AS COMPETÊNCIAS DE FEVEREIRO E MARÇO DE 2024 - POR ESTIMATIVA.")</f>
        <v>LOCAÇÃO DE IMÓVEIS ONDE FUNCIONAM AS PROMOTORIAS DE JUSTIÇA DE BARBALHA, CONFORME CONTRATO 016/2022/PGJ RELATIVOS AS COMPETÊNCIAS DE FEVEREIRO E MARÇO DE 2024 - POR ESTIMATIVA.</v>
      </c>
      <c r="F137" s="3" t="s">
        <v>127</v>
      </c>
      <c r="G137" s="6" t="str">
        <f>HYPERLINK("http://www8.mpce.mp.br/Empenhos/150501/NE/2024NE000173.pdf","2024NE000173")</f>
        <v>2024NE000173</v>
      </c>
      <c r="H137" s="7">
        <v>32868.519999999997</v>
      </c>
      <c r="I137" s="8" t="s">
        <v>143</v>
      </c>
      <c r="J137" s="12" t="s">
        <v>144</v>
      </c>
    </row>
    <row r="138" spans="1:10" ht="51" x14ac:dyDescent="0.25">
      <c r="A138" s="2" t="s">
        <v>20</v>
      </c>
      <c r="B138" s="3" t="s">
        <v>300</v>
      </c>
      <c r="C138" s="4" t="str">
        <f>HYPERLINK("http://www8.mpce.mp.br/Inexigibilidade/1045920194.pdf","10459/2019-4")</f>
        <v>10459/2019-4</v>
      </c>
      <c r="D138" s="5">
        <v>45342</v>
      </c>
      <c r="E138" s="9" t="str">
        <f>HYPERLINK("https://www8.mpce.mp.br/Empenhos/150001/Objeto/47-2019.pdf","SERVIÇOS DE ANÁLISE DETALHADA E IMPARCIAL CONFORME CONTRATO 47/2019 EM EMPRESA  DE COLETA DE RESÍDUOS SÓLIDO NO MUNICÍPIO DE PARAIPABA-CE.")</f>
        <v>SERVIÇOS DE ANÁLISE DETALHADA E IMPARCIAL CONFORME CONTRATO 47/2019 EM EMPRESA  DE COLETA DE RESÍDUOS SÓLIDO NO MUNICÍPIO DE PARAIPABA-CE.</v>
      </c>
      <c r="F138" s="3" t="s">
        <v>266</v>
      </c>
      <c r="G138" s="6" t="str">
        <f>HYPERLINK("http://www8.mpce.mp.br/Empenhos/150501/NE/2024NE000174.pdf","2024NE000174")</f>
        <v>2024NE000174</v>
      </c>
      <c r="H138" s="7">
        <v>19996.7</v>
      </c>
      <c r="I138" s="8" t="s">
        <v>267</v>
      </c>
      <c r="J138" s="12" t="s">
        <v>268</v>
      </c>
    </row>
    <row r="139" spans="1:10" ht="51" x14ac:dyDescent="0.25">
      <c r="A139" s="2" t="s">
        <v>45</v>
      </c>
      <c r="B139" s="3" t="s">
        <v>301</v>
      </c>
      <c r="C139" s="4" t="str">
        <f>HYPERLINK("https://transparencia-area-fim.mpce.mp.br/#/consulta/processo/pastadigital/092022000343751","09.2022.00034375-1")</f>
        <v>09.2022.00034375-1</v>
      </c>
      <c r="D139" s="5">
        <v>45343</v>
      </c>
      <c r="E139" s="9" t="str">
        <f>HYPERLINK("https://www8.mpce.mp.br/Empenhos/150001/Objeto/08-2023.pdf","LOCAÇÃO DE IMÓVEIS ONDE FUNCIONAM AS PROMOTORIAS DE JUSTIÇA DE QUIXERAMOBIM, CONFORME CONTRATO 008/2023/PGJ RELATIVOS AS COMPETÊNCIAS DE FEVEREIRO E MARÇO DE 2024 - POR ESTIMATIVA.")</f>
        <v>LOCAÇÃO DE IMÓVEIS ONDE FUNCIONAM AS PROMOTORIAS DE JUSTIÇA DE QUIXERAMOBIM, CONFORME CONTRATO 008/2023/PGJ RELATIVOS AS COMPETÊNCIAS DE FEVEREIRO E MARÇO DE 2024 - POR ESTIMATIVA.</v>
      </c>
      <c r="F139" s="3" t="s">
        <v>127</v>
      </c>
      <c r="G139" s="6" t="str">
        <f>HYPERLINK("http://www8.mpce.mp.br/Empenhos/150501/NE/2024NE000175.pdf","2024NE000175")</f>
        <v>2024NE000175</v>
      </c>
      <c r="H139" s="7">
        <v>28360</v>
      </c>
      <c r="I139" s="8" t="s">
        <v>140</v>
      </c>
      <c r="J139" s="12" t="s">
        <v>141</v>
      </c>
    </row>
    <row r="140" spans="1:10" ht="76.5" x14ac:dyDescent="0.25">
      <c r="A140" s="2" t="s">
        <v>45</v>
      </c>
      <c r="B140" s="3" t="s">
        <v>302</v>
      </c>
      <c r="C140" s="4" t="str">
        <f>HYPERLINK("http://www8.mpce.mp.br/Dispensa/2004820193.pdf","20048/2019-3")</f>
        <v>20048/2019-3</v>
      </c>
      <c r="D140" s="5">
        <v>45343</v>
      </c>
      <c r="E140" s="9" t="str">
        <f>HYPERLINK("https://www8.mpce.mp.br/Empenhos/150001/Objeto/84-2019.pdf","EMPENHO DOS ALUGUÉIS DOS MESES DE FEV E  MARÇO DE 2024, REF. AO IMÓVEL ONDE FUNCIONAM AS PROMOTORIAS DE JUSTIÇA DE MOMBAÇA, LOCALIZADA À RUA NOSSA SENHORA DO PERPÉTUO SOCORRO, Nº 340, BAIRRO CENTRO, MOMBAÇA-CE, CONF CONTRATO Nº 084/2019/PGJ.")</f>
        <v>EMPENHO DOS ALUGUÉIS DOS MESES DE FEV E  MARÇO DE 2024, REF. AO IMÓVEL ONDE FUNCIONAM AS PROMOTORIAS DE JUSTIÇA DE MOMBAÇA, LOCALIZADA À RUA NOSSA SENHORA DO PERPÉTUO SOCORRO, Nº 340, BAIRRO CENTRO, MOMBAÇA-CE, CONF CONTRATO Nº 084/2019/PGJ.</v>
      </c>
      <c r="F140" s="3" t="s">
        <v>172</v>
      </c>
      <c r="G140" s="6" t="str">
        <f>HYPERLINK("http://www8.mpce.mp.br/Empenhos/150501/NE/2024NE000176.pdf","2024NE000176")</f>
        <v>2024NE000176</v>
      </c>
      <c r="H140" s="7">
        <v>8000</v>
      </c>
      <c r="I140" s="8" t="s">
        <v>173</v>
      </c>
      <c r="J140" s="12" t="s">
        <v>174</v>
      </c>
    </row>
    <row r="141" spans="1:10" ht="51" x14ac:dyDescent="0.25">
      <c r="A141" s="2" t="s">
        <v>45</v>
      </c>
      <c r="B141" s="3" t="s">
        <v>142</v>
      </c>
      <c r="C141" s="4" t="str">
        <f>HYPERLINK("https://transparencia-area-fim.mpce.mp.br/#/consulta/processo/pastadigital/092021000244282","09.2021.00024428-2")</f>
        <v>09.2021.00024428-2</v>
      </c>
      <c r="D141" s="5">
        <v>45343</v>
      </c>
      <c r="E141" s="9" t="str">
        <f>HYPERLINK("https://www8.mpce.mp.br/Empenhos/150001/Objeto/18-2022.pdf","LOCAÇÃO DE IMÓVEIS ONDE FUNCIONAM AS PROMOTORIAS DE JUSTIÇA DE CRATEÚS, CONFORME CONTRATO 018/2022/PGJ RELATIVOS AS COMPETÊNCIAS DE FEVEREIRO E MARÇO DE 2024 - POR ESTIMATIVA.")</f>
        <v>LOCAÇÃO DE IMÓVEIS ONDE FUNCIONAM AS PROMOTORIAS DE JUSTIÇA DE CRATEÚS, CONFORME CONTRATO 018/2022/PGJ RELATIVOS AS COMPETÊNCIAS DE FEVEREIRO E MARÇO DE 2024 - POR ESTIMATIVA.</v>
      </c>
      <c r="F141" s="3" t="s">
        <v>127</v>
      </c>
      <c r="G141" s="6" t="str">
        <f>HYPERLINK("http://www8.mpce.mp.br/Empenhos/150501/NE/2024NE000177.pdf","2024NE000177")</f>
        <v>2024NE000177</v>
      </c>
      <c r="H141" s="7">
        <v>52000.2</v>
      </c>
      <c r="I141" s="8" t="s">
        <v>145</v>
      </c>
      <c r="J141" s="12" t="s">
        <v>146</v>
      </c>
    </row>
    <row r="142" spans="1:10" ht="38.25" x14ac:dyDescent="0.25">
      <c r="A142" s="2" t="s">
        <v>45</v>
      </c>
      <c r="B142" s="3" t="s">
        <v>303</v>
      </c>
      <c r="C142" s="4" t="str">
        <f>HYPERLINK("http://www8.mpce.mp.br/Dispensa/6795020160.pdf","6795020160")</f>
        <v>6795020160</v>
      </c>
      <c r="D142" s="5">
        <v>45343</v>
      </c>
      <c r="E142" s="9" t="str">
        <f>HYPERLINK("https://www8.mpce.mp.br/Empenhos/150001/Objeto/08-2017.pdf","LOCAÇÃO DE IMÓVEIS ONDE FUNCIONAM AS PROMOTORIAS DE JUSTIÇA DE JARDIM, CONTRATO 008/2017/PGJ REFERENTE AOS MESES DE FEV E MARÇO DE 2024.")</f>
        <v>LOCAÇÃO DE IMÓVEIS ONDE FUNCIONAM AS PROMOTORIAS DE JUSTIÇA DE JARDIM, CONTRATO 008/2017/PGJ REFERENTE AOS MESES DE FEV E MARÇO DE 2024.</v>
      </c>
      <c r="F142" s="3" t="s">
        <v>172</v>
      </c>
      <c r="G142" s="6" t="str">
        <f>HYPERLINK("http://www8.mpce.mp.br/Empenhos/150501/NE/2024NE000178.pdf","2024NE000178")</f>
        <v>2024NE000178</v>
      </c>
      <c r="H142" s="7">
        <v>1360.06</v>
      </c>
      <c r="I142" s="8" t="s">
        <v>230</v>
      </c>
      <c r="J142" s="12" t="s">
        <v>231</v>
      </c>
    </row>
    <row r="143" spans="1:10" ht="38.25" x14ac:dyDescent="0.25">
      <c r="A143" s="2" t="s">
        <v>45</v>
      </c>
      <c r="B143" s="3" t="s">
        <v>304</v>
      </c>
      <c r="C143" s="4" t="str">
        <f>HYPERLINK("http://www8.mpce.mp.br/Dispensa/0013520168.pdf","00135/2016-8")</f>
        <v>00135/2016-8</v>
      </c>
      <c r="D143" s="5">
        <v>45343</v>
      </c>
      <c r="E143" s="9" t="str">
        <f>HYPERLINK("https://www8.mpce.mp.br/Empenhos/150001/Objeto/09-2016.pdf","LOCAÇÃO DE IMÓVEIS ONDE FUNCIONAM AS PROMOTORIAS DE JUSTIÇA DE CANINDÉ, CONTRATO 009/2016/PGJ REFERENTE AOS MESES DE FEV E MARÇO DE 2024.")</f>
        <v>LOCAÇÃO DE IMÓVEIS ONDE FUNCIONAM AS PROMOTORIAS DE JUSTIÇA DE CANINDÉ, CONTRATO 009/2016/PGJ REFERENTE AOS MESES DE FEV E MARÇO DE 2024.</v>
      </c>
      <c r="F143" s="3" t="s">
        <v>172</v>
      </c>
      <c r="G143" s="6" t="str">
        <f>HYPERLINK("http://www8.mpce.mp.br/Empenhos/150501/NE/2024NE000180.pdf","2024NE000180")</f>
        <v>2024NE000180</v>
      </c>
      <c r="H143" s="7">
        <v>3371.64</v>
      </c>
      <c r="I143" s="8" t="s">
        <v>210</v>
      </c>
      <c r="J143" s="12" t="s">
        <v>211</v>
      </c>
    </row>
    <row r="144" spans="1:10" ht="51" x14ac:dyDescent="0.25">
      <c r="A144" s="2" t="s">
        <v>45</v>
      </c>
      <c r="B144" s="3" t="s">
        <v>142</v>
      </c>
      <c r="C144" s="4" t="str">
        <f>HYPERLINK("https://transparencia-area-fim.mpce.mp.br/#/consulta/processo/pastadigital/092021000244582","09.2021.00024458-2")</f>
        <v>09.2021.00024458-2</v>
      </c>
      <c r="D144" s="5">
        <v>45343</v>
      </c>
      <c r="E144" s="9" t="str">
        <f>HYPERLINK("https://www8.mpce.mp.br/Empenhos/150001/Objeto/11-2022.pdf","LOCAÇÃO DE IMÓVEIS ONDE FUNCIONAM AS PROMOTORIAS DE JUSTIÇA DE ARACATI, CONFORME CONTRATO 011/2022/PGJ RELATIVOS AS COMPETÊNCIAS DE FEVEREIRO E MARÇO DE 2024 - POR ESTIMATIVA.")</f>
        <v>LOCAÇÃO DE IMÓVEIS ONDE FUNCIONAM AS PROMOTORIAS DE JUSTIÇA DE ARACATI, CONFORME CONTRATO 011/2022/PGJ RELATIVOS AS COMPETÊNCIAS DE FEVEREIRO E MARÇO DE 2024 - POR ESTIMATIVA.</v>
      </c>
      <c r="F144" s="3" t="s">
        <v>127</v>
      </c>
      <c r="G144" s="6" t="str">
        <f>HYPERLINK("http://www8.mpce.mp.br/Empenhos/150501/NE/2024NE000181.pdf","2024NE000181")</f>
        <v>2024NE000181</v>
      </c>
      <c r="H144" s="7">
        <v>36930</v>
      </c>
      <c r="I144" s="8" t="s">
        <v>182</v>
      </c>
      <c r="J144" s="12" t="s">
        <v>183</v>
      </c>
    </row>
    <row r="145" spans="1:10" ht="38.25" x14ac:dyDescent="0.25">
      <c r="A145" s="2" t="s">
        <v>45</v>
      </c>
      <c r="B145" s="3" t="s">
        <v>305</v>
      </c>
      <c r="C145" s="4" t="str">
        <f>HYPERLINK("http://www8.mpce.mp.br/Dispensa/1320920133.pdf","13209/2013-3")</f>
        <v>13209/2013-3</v>
      </c>
      <c r="D145" s="5">
        <v>45343</v>
      </c>
      <c r="E145" s="9" t="str">
        <f>HYPERLINK("https://www8.mpce.mp.br/Empenhos/150001/Objeto/43-2013.pdf","EMPENHO DE LOCAÇÃO DE IMÓVEL DAS PROMOTORIAS DE MORADA NOVA-CE REF MÊS DE FEV E MAÇO/2024., CONFORME CONTRATO 43/2013.")</f>
        <v>EMPENHO DE LOCAÇÃO DE IMÓVEL DAS PROMOTORIAS DE MORADA NOVA-CE REF MÊS DE FEV E MAÇO/2024., CONFORME CONTRATO 43/2013.</v>
      </c>
      <c r="F145" s="3" t="s">
        <v>172</v>
      </c>
      <c r="G145" s="6" t="str">
        <f>HYPERLINK("http://www8.mpce.mp.br/Empenhos/150501/NE/2024NE000182.pdf","2024NE000182")</f>
        <v>2024NE000182</v>
      </c>
      <c r="H145" s="7">
        <v>16300.56</v>
      </c>
      <c r="I145" s="8" t="s">
        <v>188</v>
      </c>
      <c r="J145" s="12" t="s">
        <v>189</v>
      </c>
    </row>
    <row r="146" spans="1:10" ht="63.75" x14ac:dyDescent="0.25">
      <c r="A146" s="2" t="s">
        <v>45</v>
      </c>
      <c r="B146" s="3" t="s">
        <v>142</v>
      </c>
      <c r="C146" s="4" t="str">
        <f>HYPERLINK("http://www8.mpce.mp.br/Dispensa/4572720144.pdf","45727/2014-4")</f>
        <v>45727/2014-4</v>
      </c>
      <c r="D146" s="5">
        <v>45343</v>
      </c>
      <c r="E146" s="9" t="str">
        <f>HYPERLINK("https://www8.mpce.mp.br/Empenhos/150001/Objeto/01-2015.pdf","EMPENHO DE TAXAS CONDOMINIAIS DAS PROMOTORIAS DE JUSTIÇA DE JUAZEIRO DO NORTE (ED. CENTRAL PARK COMERCIAL, SALAS 1201 A 1218) - CONTRATO 001/2015/PGJ, REFERENTE AOS MESES DE JAN, FEV E MAR/2024 - POR ESTIMATIVA")</f>
        <v>EMPENHO DE TAXAS CONDOMINIAIS DAS PROMOTORIAS DE JUSTIÇA DE JUAZEIRO DO NORTE (ED. CENTRAL PARK COMERCIAL, SALAS 1201 A 1218) - CONTRATO 001/2015/PGJ, REFERENTE AOS MESES DE JAN, FEV E MAR/2024 - POR ESTIMATIVA</v>
      </c>
      <c r="F146" s="3" t="s">
        <v>242</v>
      </c>
      <c r="G146" s="6" t="str">
        <f>HYPERLINK("http://www8.mpce.mp.br/Empenhos/150501/NE/2024NE000183.pdf","2024NE000183")</f>
        <v>2024NE000183</v>
      </c>
      <c r="H146" s="7">
        <v>16740</v>
      </c>
      <c r="I146" s="8" t="s">
        <v>226</v>
      </c>
      <c r="J146" s="12" t="s">
        <v>227</v>
      </c>
    </row>
    <row r="147" spans="1:10" ht="51" x14ac:dyDescent="0.25">
      <c r="A147" s="2" t="s">
        <v>45</v>
      </c>
      <c r="B147" s="3" t="s">
        <v>306</v>
      </c>
      <c r="C147" s="4" t="str">
        <f>HYPERLINK("http://www8.mpce.mp.br/Dispensa/2150720189.pdf","21507/2018-9")</f>
        <v>21507/2018-9</v>
      </c>
      <c r="D147" s="5">
        <v>45343</v>
      </c>
      <c r="E147" s="9" t="str">
        <f>HYPERLINK("https://www8.mpce.mp.br/Empenhos/150001/Objeto/51-2019.pdf","EMPENHO DE LOCAÇÃO DE IMÓVEIS ONDE FUNCIONAM AS PROMOTORIAS DE JUSTIÇA DE VIÇOSA DO CEARÁ, CONTRATO 051/2019/PGJ REFERENTE AOS MESES DE FEV E MARÇO DE 2024.")</f>
        <v>EMPENHO DE LOCAÇÃO DE IMÓVEIS ONDE FUNCIONAM AS PROMOTORIAS DE JUSTIÇA DE VIÇOSA DO CEARÁ, CONTRATO 051/2019/PGJ REFERENTE AOS MESES DE FEV E MARÇO DE 2024.</v>
      </c>
      <c r="F147" s="3" t="s">
        <v>172</v>
      </c>
      <c r="G147" s="6" t="str">
        <f>HYPERLINK("http://www8.mpce.mp.br/Empenhos/150501/NE/2024NE000184.pdf","2024NE000184")</f>
        <v>2024NE000184</v>
      </c>
      <c r="H147" s="7">
        <v>5871.42</v>
      </c>
      <c r="I147" s="8" t="s">
        <v>190</v>
      </c>
      <c r="J147" s="12" t="s">
        <v>191</v>
      </c>
    </row>
    <row r="148" spans="1:10" ht="38.25" x14ac:dyDescent="0.25">
      <c r="A148" s="2" t="s">
        <v>45</v>
      </c>
      <c r="B148" s="3" t="s">
        <v>307</v>
      </c>
      <c r="C148" s="4" t="str">
        <f>HYPERLINK("https://transparencia-area-fim.mpce.mp.br/#/consulta/processo/pastadigital/092021000244550","09.2021.00024455-0")</f>
        <v>09.2021.00024455-0</v>
      </c>
      <c r="D148" s="5">
        <v>45343</v>
      </c>
      <c r="E148" s="9" t="str">
        <f>HYPERLINK("https://www8.mpce.mp.br/Empenhos/150001/Objeto/10-2022.pdf","EMPENHO DE ALUGUEL DO IMÓVEL ONDE FUNCIONAM AS PROMOTORIAS DE ICÓ-CE REF MESES DE FEV E MARÇO CONFORME CONTRATO 010/2022.")</f>
        <v>EMPENHO DE ALUGUEL DO IMÓVEL ONDE FUNCIONAM AS PROMOTORIAS DE ICÓ-CE REF MESES DE FEV E MARÇO CONFORME CONTRATO 010/2022.</v>
      </c>
      <c r="F148" s="3" t="s">
        <v>172</v>
      </c>
      <c r="G148" s="6" t="str">
        <f>HYPERLINK("http://www8.mpce.mp.br/Empenhos/150501/NE/2024NE000185.pdf","2024NE000185")</f>
        <v>2024NE000185</v>
      </c>
      <c r="H148" s="7">
        <v>26973</v>
      </c>
      <c r="I148" s="8" t="s">
        <v>228</v>
      </c>
      <c r="J148" s="12" t="s">
        <v>229</v>
      </c>
    </row>
    <row r="149" spans="1:10" ht="51" x14ac:dyDescent="0.25">
      <c r="A149" s="2" t="s">
        <v>45</v>
      </c>
      <c r="B149" s="3" t="s">
        <v>308</v>
      </c>
      <c r="C149" s="4" t="str">
        <f>HYPERLINK("http://www8.mpce.mp.br/Dispensa/2398120192.pdf","23981/2019-2")</f>
        <v>23981/2019-2</v>
      </c>
      <c r="D149" s="5">
        <v>45343</v>
      </c>
      <c r="E149" s="9" t="str">
        <f>HYPERLINK("https://www8.mpce.mp.br/Empenhos/150001/Objeto/63-2019.pdf","EMPENHO DE LOCAÇÃO DE IMÓVEIS ONDE FUNCIONAM AS PROMOTORIAS DE JUSTIÇA DE JUAZEIRO DO NORTE, CONTRATO 063/2019/PGJ REFERENTE AOS MESES DE FEV E MARÇO DE 2024.")</f>
        <v>EMPENHO DE LOCAÇÃO DE IMÓVEIS ONDE FUNCIONAM AS PROMOTORIAS DE JUSTIÇA DE JUAZEIRO DO NORTE, CONTRATO 063/2019/PGJ REFERENTE AOS MESES DE FEV E MARÇO DE 2024.</v>
      </c>
      <c r="F149" s="3" t="s">
        <v>172</v>
      </c>
      <c r="G149" s="6" t="str">
        <f>HYPERLINK("http://www8.mpce.mp.br/Empenhos/150501/NE/2024NE000186.pdf","2024NE000186")</f>
        <v>2024NE000186</v>
      </c>
      <c r="H149" s="7">
        <v>2130.3200000000002</v>
      </c>
      <c r="I149" s="8" t="s">
        <v>177</v>
      </c>
      <c r="J149" s="12" t="s">
        <v>178</v>
      </c>
    </row>
    <row r="150" spans="1:10" ht="38.25" x14ac:dyDescent="0.25">
      <c r="A150" s="2" t="s">
        <v>45</v>
      </c>
      <c r="B150" s="3" t="s">
        <v>142</v>
      </c>
      <c r="C150" s="4" t="str">
        <f>HYPERLINK("http://www8.mpce.mp.br/Dispensa/1291020194.pdf","12910/2019-4")</f>
        <v>12910/2019-4</v>
      </c>
      <c r="D150" s="5">
        <v>45343</v>
      </c>
      <c r="E150" s="9" t="str">
        <f>HYPERLINK("https://www8.mpce.mp.br/Empenhos/150001/Objeto/39-2019.pdf","LOCAÇÃO DE IMÓVEIS ONDE FUNCIONAM AS PROMOTORIAS DA INFÂNCIA E JUVENTUDE, CONTRATO 039/2019/PGJ REFERENTE AO MES DE FEV E MAR/2024 - POR ESTIMATIVA")</f>
        <v>LOCAÇÃO DE IMÓVEIS ONDE FUNCIONAM AS PROMOTORIAS DA INFÂNCIA E JUVENTUDE, CONTRATO 039/2019/PGJ REFERENTE AO MES DE FEV E MAR/2024 - POR ESTIMATIVA</v>
      </c>
      <c r="F150" s="3" t="s">
        <v>127</v>
      </c>
      <c r="G150" s="6" t="str">
        <f>HYPERLINK("http://www8.mpce.mp.br/Empenhos/150501/NE/2024NE000187.pdf","2024NE000187")</f>
        <v>2024NE000187</v>
      </c>
      <c r="H150" s="7">
        <v>8856.06</v>
      </c>
      <c r="I150" s="8" t="s">
        <v>159</v>
      </c>
      <c r="J150" s="12" t="s">
        <v>160</v>
      </c>
    </row>
    <row r="151" spans="1:10" ht="51" x14ac:dyDescent="0.25">
      <c r="A151" s="2" t="s">
        <v>45</v>
      </c>
      <c r="B151" s="3" t="s">
        <v>309</v>
      </c>
      <c r="C151" s="4" t="str">
        <f>HYPERLINK("http://www8.mpce.mp.br/Dispensa/2330020195.pdf","23300/2019-5")</f>
        <v>23300/2019-5</v>
      </c>
      <c r="D151" s="5">
        <v>45343</v>
      </c>
      <c r="E151" s="9" t="str">
        <f>HYPERLINK("https://www8.mpce.mp.br/Empenhos/150001/Objeto/61-2019.pdf","EMPENHO DE LOCAÇÃO DE IMÓVEIS ONDE FUNCIONAM AS PROMOTORIAS DE JUSTIÇA DE ACARAÚ, CONTRATO 061/2019/PGJ REFERENTE AOS MESES DE FEV E MARÇO DE 2024.")</f>
        <v>EMPENHO DE LOCAÇÃO DE IMÓVEIS ONDE FUNCIONAM AS PROMOTORIAS DE JUSTIÇA DE ACARAÚ, CONTRATO 061/2019/PGJ REFERENTE AOS MESES DE FEV E MARÇO DE 2024.</v>
      </c>
      <c r="F151" s="3" t="s">
        <v>172</v>
      </c>
      <c r="G151" s="6" t="str">
        <f>HYPERLINK("http://www8.mpce.mp.br/Empenhos/150501/NE/2024NE000188.pdf","2024NE000188")</f>
        <v>2024NE000188</v>
      </c>
      <c r="H151" s="7">
        <v>2800</v>
      </c>
      <c r="I151" s="8" t="s">
        <v>184</v>
      </c>
      <c r="J151" s="12" t="s">
        <v>185</v>
      </c>
    </row>
    <row r="152" spans="1:10" ht="51" x14ac:dyDescent="0.25">
      <c r="A152" s="2" t="s">
        <v>45</v>
      </c>
      <c r="B152" s="3" t="s">
        <v>310</v>
      </c>
      <c r="C152" s="4" t="str">
        <f>HYPERLINK("http://www8.mpce.mp.br/Dispensa/4503020176.pdf","45030/2017-6")</f>
        <v>45030/2017-6</v>
      </c>
      <c r="D152" s="5">
        <v>45343</v>
      </c>
      <c r="E152" s="9" t="str">
        <f>HYPERLINK("https://www8.mpce.mp.br/Empenhos/150001/Objeto/74-2019.pdf","EMPENHO DE LOCAÇÃO DE IMÓVEL ONDE FUNCIONA A PROMOTORIA DE JUSTIÇA DE GRANJA-CE, REFERENTE AO CONTRATO 074/2019 E RELATIVO AOS MESES DE FEV E MARÇO DE 2024.")</f>
        <v>EMPENHO DE LOCAÇÃO DE IMÓVEL ONDE FUNCIONA A PROMOTORIA DE JUSTIÇA DE GRANJA-CE, REFERENTE AO CONTRATO 074/2019 E RELATIVO AOS MESES DE FEV E MARÇO DE 2024.</v>
      </c>
      <c r="F152" s="3" t="s">
        <v>172</v>
      </c>
      <c r="G152" s="6" t="str">
        <f>HYPERLINK("http://www8.mpce.mp.br/Empenhos/150501/NE/2024NE000189.pdf","2024NE000189")</f>
        <v>2024NE000189</v>
      </c>
      <c r="H152" s="7">
        <v>4376.0200000000004</v>
      </c>
      <c r="I152" s="8" t="s">
        <v>247</v>
      </c>
      <c r="J152" s="12" t="s">
        <v>248</v>
      </c>
    </row>
    <row r="153" spans="1:10" ht="51" x14ac:dyDescent="0.25">
      <c r="A153" s="2" t="s">
        <v>45</v>
      </c>
      <c r="B153" s="3" t="s">
        <v>311</v>
      </c>
      <c r="C153" s="4" t="str">
        <f>HYPERLINK("http://www8.mpce.mp.br/Dispensa/1955220197.pdf","19552/2019-7")</f>
        <v>19552/2019-7</v>
      </c>
      <c r="D153" s="5">
        <v>45343</v>
      </c>
      <c r="E153" s="9" t="str">
        <f>HYPERLINK("https://www8.mpce.mp.br/Empenhos/150001/Objeto/85-2019.pdf","EMPENHO DE LOCAÇÃO DE IMÓVEL ONDE FUNCIONA AS PROMOTORIAS DE JUSTIÇA DE PARAIPABA REFERENTE AOS MESES DE FEV E MARÇO/2024, CONFORME CONTRATO 85/2019")</f>
        <v>EMPENHO DE LOCAÇÃO DE IMÓVEL ONDE FUNCIONA AS PROMOTORIAS DE JUSTIÇA DE PARAIPABA REFERENTE AOS MESES DE FEV E MARÇO/2024, CONFORME CONTRATO 85/2019</v>
      </c>
      <c r="F153" s="3" t="s">
        <v>172</v>
      </c>
      <c r="G153" s="6" t="str">
        <f>HYPERLINK("http://www8.mpce.mp.br/Empenhos/150501/NE/2024NE000190.pdf","2024NE000190")</f>
        <v>2024NE000190</v>
      </c>
      <c r="H153" s="7">
        <v>2613.4</v>
      </c>
      <c r="I153" s="8" t="s">
        <v>197</v>
      </c>
      <c r="J153" s="12" t="s">
        <v>198</v>
      </c>
    </row>
    <row r="154" spans="1:10" ht="38.25" x14ac:dyDescent="0.25">
      <c r="A154" s="2" t="s">
        <v>45</v>
      </c>
      <c r="B154" s="3" t="s">
        <v>317</v>
      </c>
      <c r="C154" s="4" t="str">
        <f>HYPERLINK("https://transparencia-area-fim.mpce.mp.br/#/consulta/processo/pastadigital/092021000121226","09.2021.00012122-6")</f>
        <v>09.2021.00012122-6</v>
      </c>
      <c r="D154" s="5">
        <v>45343</v>
      </c>
      <c r="E154" s="9" t="str">
        <f>HYPERLINK("https://www8.mpce.mp.br/Empenhos/150001/Objeto/34-2021.pdf","LOCAÇÃO DE IMÓVEIS ONDE FUNCIONAM AS PROMOTORIAS DE JUSTIÇA DE SÃO BENEDITO, CONTRATO 034/2021/PGJ REFERENTE AOS MESES DE FEV E MARÇO DE 2024.")</f>
        <v>LOCAÇÃO DE IMÓVEIS ONDE FUNCIONAM AS PROMOTORIAS DE JUSTIÇA DE SÃO BENEDITO, CONTRATO 034/2021/PGJ REFERENTE AOS MESES DE FEV E MARÇO DE 2024.</v>
      </c>
      <c r="F154" s="3" t="s">
        <v>172</v>
      </c>
      <c r="G154" s="6" t="str">
        <f>HYPERLINK("http://www8.mpce.mp.br/Empenhos/150501/NE/2024NE000191.pdf","2024NE000191")</f>
        <v>2024NE000191</v>
      </c>
      <c r="H154" s="7">
        <v>5646.54</v>
      </c>
      <c r="I154" s="8" t="s">
        <v>204</v>
      </c>
      <c r="J154" s="12" t="s">
        <v>205</v>
      </c>
    </row>
    <row r="155" spans="1:10" ht="38.25" x14ac:dyDescent="0.25">
      <c r="A155" s="2" t="s">
        <v>45</v>
      </c>
      <c r="B155" s="3" t="s">
        <v>312</v>
      </c>
      <c r="C155" s="4" t="str">
        <f>HYPERLINK("https://transparencia-area-fim.mpce.mp.br/#/consulta/processo/pastadigital/092024000041037","09.2024.00004103-7")</f>
        <v>09.2024.00004103-7</v>
      </c>
      <c r="D155" s="5">
        <v>45337</v>
      </c>
      <c r="E155" s="9" t="s">
        <v>313</v>
      </c>
      <c r="F155" s="3" t="s">
        <v>314</v>
      </c>
      <c r="G155" s="6" t="str">
        <f>HYPERLINK("http://www8.mpce.mp.br/Empenhos/150001/NE/2024NE000191.pdf","2024NE000191")</f>
        <v>2024NE000191</v>
      </c>
      <c r="H155" s="7">
        <v>937500</v>
      </c>
      <c r="I155" s="8" t="s">
        <v>315</v>
      </c>
      <c r="J155" s="12" t="s">
        <v>316</v>
      </c>
    </row>
    <row r="156" spans="1:10" ht="38.25" x14ac:dyDescent="0.25">
      <c r="A156" s="2" t="s">
        <v>45</v>
      </c>
      <c r="B156" s="3" t="s">
        <v>318</v>
      </c>
      <c r="C156" s="4" t="str">
        <f>HYPERLINK("http://www8.mpce.mp.br/Dispensa/3642820165.pdf","36428/2016-5")</f>
        <v>36428/2016-5</v>
      </c>
      <c r="D156" s="5">
        <v>45343</v>
      </c>
      <c r="E156" s="9" t="str">
        <f>HYPERLINK("https://www8.mpce.mp.br/Empenhos/150001/Objeto/26-2017.pdf","LOCAÇÃO DE IMÓVEIS ONDE FUNCIONAM AS PROMOTORIAS DE JUSTIÇA DE MARANGUAPE, CONTRATO 026/2017/PGJ REFERENTE AOS MESES DE FEV E MARÇO DE 2024.")</f>
        <v>LOCAÇÃO DE IMÓVEIS ONDE FUNCIONAM AS PROMOTORIAS DE JUSTIÇA DE MARANGUAPE, CONTRATO 026/2017/PGJ REFERENTE AOS MESES DE FEV E MARÇO DE 2024.</v>
      </c>
      <c r="F156" s="3" t="s">
        <v>172</v>
      </c>
      <c r="G156" s="6" t="str">
        <f>HYPERLINK("http://www8.mpce.mp.br/Empenhos/150501/NE/2024NE000192.pdf","2024NE000192")</f>
        <v>2024NE000192</v>
      </c>
      <c r="H156" s="7">
        <v>9655.16</v>
      </c>
      <c r="I156" s="8" t="s">
        <v>216</v>
      </c>
      <c r="J156" s="12" t="s">
        <v>217</v>
      </c>
    </row>
    <row r="157" spans="1:10" ht="51" x14ac:dyDescent="0.25">
      <c r="A157" s="2" t="s">
        <v>45</v>
      </c>
      <c r="B157" s="3" t="s">
        <v>319</v>
      </c>
      <c r="C157" s="4" t="str">
        <f>HYPERLINK("https://transparencia-area-fim.mpce.mp.br/#/consulta/processo/pastadigital/092022000110511","09.2022.00011051-1")</f>
        <v>09.2022.00011051-1</v>
      </c>
      <c r="D157" s="5">
        <v>45343</v>
      </c>
      <c r="E157" s="9" t="str">
        <f>HYPERLINK("https://www8.mpce.mp.br/Empenhos/150001/Objeto/38-2022.pdf","LOCAÇÃO DE IMÓVEL ONDE FUNCIONAM AS PROMOTORIAS DE NOVA OLINDA, CONFORME CONTRATO 038/2022,REFERENTE AOS MESES DE FEV E MARÇO DE 2024.")</f>
        <v>LOCAÇÃO DE IMÓVEL ONDE FUNCIONAM AS PROMOTORIAS DE NOVA OLINDA, CONFORME CONTRATO 038/2022,REFERENTE AOS MESES DE FEV E MARÇO DE 2024.</v>
      </c>
      <c r="F157" s="3" t="s">
        <v>172</v>
      </c>
      <c r="G157" s="6" t="str">
        <f>HYPERLINK("http://www8.mpce.mp.br/Empenhos/150501/NE/2024NE000193.pdf","2024NE000193")</f>
        <v>2024NE000193</v>
      </c>
      <c r="H157" s="7">
        <v>4000</v>
      </c>
      <c r="I157" s="8" t="s">
        <v>240</v>
      </c>
      <c r="J157" s="12" t="s">
        <v>241</v>
      </c>
    </row>
    <row r="158" spans="1:10" ht="38.25" x14ac:dyDescent="0.25">
      <c r="A158" s="2" t="s">
        <v>20</v>
      </c>
      <c r="B158" s="3" t="s">
        <v>320</v>
      </c>
      <c r="C158" s="4" t="str">
        <f>HYPERLINK("https://transparencia-area-fim.mpce.mp.br/#/consulta/processo/pastadigital/092022000083885","09.2022.00008388-5")</f>
        <v>09.2022.00008388-5</v>
      </c>
      <c r="D158" s="5">
        <v>45343</v>
      </c>
      <c r="E158" s="9" t="str">
        <f>HYPERLINK("https://www8.mpce.mp.br/Empenhos/150001/Objeto/36-2023.pdf","LOCAÇÃO DE IMÓVEIS ONDE FUNCIONAM AS PROMOTORIAS DE JUSTIÇA DE SOLONÓPOLE, CONTRATO 036/2023/PGJ REFERENTE AOS MESES DE FEV E MARÇO DE 2024.")</f>
        <v>LOCAÇÃO DE IMÓVEIS ONDE FUNCIONAM AS PROMOTORIAS DE JUSTIÇA DE SOLONÓPOLE, CONTRATO 036/2023/PGJ REFERENTE AOS MESES DE FEV E MARÇO DE 2024.</v>
      </c>
      <c r="F158" s="3" t="s">
        <v>172</v>
      </c>
      <c r="G158" s="6" t="str">
        <f>HYPERLINK("http://www8.mpce.mp.br/Empenhos/150501/NE/2024NE000194.pdf","2024NE000194")</f>
        <v>2024NE000194</v>
      </c>
      <c r="H158" s="7">
        <v>7794.48</v>
      </c>
      <c r="I158" s="8" t="s">
        <v>199</v>
      </c>
      <c r="J158" s="12" t="s">
        <v>200</v>
      </c>
    </row>
    <row r="159" spans="1:10" ht="51" x14ac:dyDescent="0.25">
      <c r="A159" s="2" t="s">
        <v>20</v>
      </c>
      <c r="B159" s="3" t="s">
        <v>321</v>
      </c>
      <c r="C159" s="4" t="str">
        <f>HYPERLINK("https://transparencia-area-fim.mpce.mp.br/#/consulta/processo/pastadigital/092022000409094","09.2022.00040909-4")</f>
        <v>09.2022.00040909-4</v>
      </c>
      <c r="D159" s="5">
        <v>45343</v>
      </c>
      <c r="E159" s="9" t="str">
        <f>HYPERLINK("https://www8.mpce.mp.br/Empenhos/150001/Objeto/41-2023.pdf","LOCAÇÃO DE IMÓVEIS ONDE FUNCIONAM AS PROMOTORIAS DE JUSTIÇA DE GUARACIABA DO NORTE, CONTRATO 041/2023/PGJ REFERENTE AOS MESES DE FEV E MARÇO DE 2024.")</f>
        <v>LOCAÇÃO DE IMÓVEIS ONDE FUNCIONAM AS PROMOTORIAS DE JUSTIÇA DE GUARACIABA DO NORTE, CONTRATO 041/2023/PGJ REFERENTE AOS MESES DE FEV E MARÇO DE 2024.</v>
      </c>
      <c r="F159" s="3" t="s">
        <v>172</v>
      </c>
      <c r="G159" s="6" t="str">
        <f>HYPERLINK("http://www8.mpce.mp.br/Empenhos/150501/NE/2024NE000195.pdf","2024NE000195")</f>
        <v>2024NE000195</v>
      </c>
      <c r="H159" s="7">
        <v>3100</v>
      </c>
      <c r="I159" s="8" t="s">
        <v>195</v>
      </c>
      <c r="J159" s="12" t="s">
        <v>196</v>
      </c>
    </row>
    <row r="160" spans="1:10" ht="38.25" x14ac:dyDescent="0.25">
      <c r="A160" s="2" t="s">
        <v>45</v>
      </c>
      <c r="B160" s="3" t="s">
        <v>322</v>
      </c>
      <c r="C160" s="4" t="str">
        <f>HYPERLINK("https://transparencia-area-fim.mpce.mp.br/#/consulta/processo/pastadigital/092021000166790","09.2021.00016679-0")</f>
        <v>09.2021.00016679-0</v>
      </c>
      <c r="D160" s="5">
        <v>45343</v>
      </c>
      <c r="E160" s="9" t="str">
        <f>HYPERLINK("https://www8.mpce.mp.br/Empenhos/150001/Objeto/24-2022.pdf","LOCAÇÃO DE IMÓVEIS ONDE FUNCIONAM AS PROMOTORIAS DE JUSTIÇA DE HORIZONTE, CONTRATO 024/2022/PGJ REFERENTE AOS MESES DE FEV E MARÇO DE 2024.")</f>
        <v>LOCAÇÃO DE IMÓVEIS ONDE FUNCIONAM AS PROMOTORIAS DE JUSTIÇA DE HORIZONTE, CONTRATO 024/2022/PGJ REFERENTE AOS MESES DE FEV E MARÇO DE 2024.</v>
      </c>
      <c r="F160" s="3" t="s">
        <v>172</v>
      </c>
      <c r="G160" s="6" t="str">
        <f>HYPERLINK("http://www8.mpce.mp.br/Empenhos/150501/NE/2024NE000196.pdf","2024NE000196")</f>
        <v>2024NE000196</v>
      </c>
      <c r="H160" s="7">
        <v>4800</v>
      </c>
      <c r="I160" s="8" t="s">
        <v>220</v>
      </c>
      <c r="J160" s="12" t="s">
        <v>221</v>
      </c>
    </row>
    <row r="161" spans="1:10" ht="38.25" x14ac:dyDescent="0.25">
      <c r="A161" s="2" t="s">
        <v>45</v>
      </c>
      <c r="B161" s="3" t="s">
        <v>323</v>
      </c>
      <c r="C161" s="4" t="str">
        <f>HYPERLINK("https://transparencia-area-fim.mpce.mp.br/#/consulta/processo/pastadigital/092021000219739","09.2021.00021973-9")</f>
        <v>09.2021.00021973-9</v>
      </c>
      <c r="D161" s="5">
        <v>45344</v>
      </c>
      <c r="E161" s="9" t="str">
        <f>HYPERLINK("https://www8.mpce.mp.br/Empenhos/150001/Objeto/45-2021.pdf","LOCAÇÃO DE IMÓVEIS ONDE FUNCIONAM AS PROMOTORIAS DE JUSTIÇA DE EUSÉBIO, CONTRATO 045/2021/PGJ REFERENTE AO MES DE FEV E MAR/2024 - POR ESTIMATIVA")</f>
        <v>LOCAÇÃO DE IMÓVEIS ONDE FUNCIONAM AS PROMOTORIAS DE JUSTIÇA DE EUSÉBIO, CONTRATO 045/2021/PGJ REFERENTE AO MES DE FEV E MAR/2024 - POR ESTIMATIVA</v>
      </c>
      <c r="F161" s="3" t="s">
        <v>127</v>
      </c>
      <c r="G161" s="6" t="str">
        <f>HYPERLINK("http://www8.mpce.mp.br/Empenhos/150501/NE/2024NE000203.pdf","2024NE000203")</f>
        <v>2024NE000203</v>
      </c>
      <c r="H161" s="7">
        <v>3280.7</v>
      </c>
      <c r="I161" s="8" t="s">
        <v>155</v>
      </c>
      <c r="J161" s="12" t="s">
        <v>156</v>
      </c>
    </row>
    <row r="162" spans="1:10" ht="38.25" x14ac:dyDescent="0.25">
      <c r="A162" s="2" t="s">
        <v>45</v>
      </c>
      <c r="B162" s="3" t="s">
        <v>324</v>
      </c>
      <c r="C162" s="4" t="str">
        <f>HYPERLINK("http://www8.mpce.mp.br/Dispensa/842220170.pdf","8422/20170")</f>
        <v>8422/20170</v>
      </c>
      <c r="D162" s="5">
        <v>45344</v>
      </c>
      <c r="E162" s="9" t="str">
        <f>HYPERLINK("https://www8.mpce.mp.br/Empenhos/150001/Objeto/16-2017.pdf","EMPENHO DE TAXA MUNICIPAL DE RESÍDUOS SÓLIDOS URBANOS DAS PROMOTORIAS CRIMINAIS - TMRSU REFERENTE A 1ª PARCELA CONTRATO 016/2017")</f>
        <v>EMPENHO DE TAXA MUNICIPAL DE RESÍDUOS SÓLIDOS URBANOS DAS PROMOTORIAS CRIMINAIS - TMRSU REFERENTE A 1ª PARCELA CONTRATO 016/2017</v>
      </c>
      <c r="F162" s="3" t="s">
        <v>325</v>
      </c>
      <c r="G162" s="6" t="str">
        <f>HYPERLINK("http://www8.mpce.mp.br/Empenhos/150501/NE/2024NE000204.pdf","2024NE000204")</f>
        <v>2024NE000204</v>
      </c>
      <c r="H162" s="7">
        <v>152.4</v>
      </c>
      <c r="I162" s="8" t="s">
        <v>169</v>
      </c>
      <c r="J162" s="12" t="s">
        <v>170</v>
      </c>
    </row>
    <row r="163" spans="1:10" ht="38.25" x14ac:dyDescent="0.25">
      <c r="A163" s="2" t="s">
        <v>45</v>
      </c>
      <c r="B163" s="3" t="s">
        <v>324</v>
      </c>
      <c r="C163" s="4" t="str">
        <f>HYPERLINK("http://www8.mpce.mp.br/Dispensa/842220170.pdf","8422/20170")</f>
        <v>8422/20170</v>
      </c>
      <c r="D163" s="5">
        <v>45344</v>
      </c>
      <c r="E163" s="9" t="str">
        <f>HYPERLINK("https://www8.mpce.mp.br/Empenhos/150001/Objeto/16-2017.pdf","EMPENHO REFERENTE A 1º PARCELA DO IPTU DAS PROMOTORIAS DE JUSTIÇA CRIMINAIS DA COMARCA DE FORTALEZA - CT 016/2017 ")</f>
        <v xml:space="preserve">EMPENHO REFERENTE A 1º PARCELA DO IPTU DAS PROMOTORIAS DE JUSTIÇA CRIMINAIS DA COMARCA DE FORTALEZA - CT 016/2017 </v>
      </c>
      <c r="F163" s="3" t="s">
        <v>264</v>
      </c>
      <c r="G163" s="6" t="str">
        <f>HYPERLINK("http://www8.mpce.mp.br/Empenhos/150501/NE/2024NE000205.pdf","2024NE000205")</f>
        <v>2024NE000205</v>
      </c>
      <c r="H163" s="7">
        <v>2619.0100000000002</v>
      </c>
      <c r="I163" s="8" t="s">
        <v>169</v>
      </c>
      <c r="J163" s="12" t="s">
        <v>170</v>
      </c>
    </row>
    <row r="164" spans="1:10" ht="63.75" x14ac:dyDescent="0.25">
      <c r="A164" s="2" t="s">
        <v>45</v>
      </c>
      <c r="B164" s="3" t="s">
        <v>326</v>
      </c>
      <c r="C164" s="4" t="str">
        <f>HYPERLINK("http://www8.mpce.mp.br/Dispensa/4793720162.pdf","4793720162")</f>
        <v>4793720162</v>
      </c>
      <c r="D164" s="5">
        <v>45345</v>
      </c>
      <c r="E164" s="9" t="str">
        <f>HYPERLINK("https://www8.mpce.mp.br/Empenhos/150001/Objeto/14-2017.pdf","EMPENHO DE COTA ÚNICA DE TAXA MUNICIPAL DE RESÍDUOS SÓLIDOS URBANOS  TMRSU - 2024, REF. AO IMÓVEL ONDE FUNCIONA O GALPÃO DE ALMOXARIFADO  RUA NENZINHA PARENTE, 610, BAIRRO JANGURUSSU, CONF. CONTRATO Nº 014/2017/PGJ.")</f>
        <v>EMPENHO DE COTA ÚNICA DE TAXA MUNICIPAL DE RESÍDUOS SÓLIDOS URBANOS  TMRSU - 2024, REF. AO IMÓVEL ONDE FUNCIONA O GALPÃO DE ALMOXARIFADO  RUA NENZINHA PARENTE, 610, BAIRRO JANGURUSSU, CONF. CONTRATO Nº 014/2017/PGJ.</v>
      </c>
      <c r="F164" s="3" t="s">
        <v>264</v>
      </c>
      <c r="G164" s="6" t="str">
        <f>HYPERLINK("http://www8.mpce.mp.br/Empenhos/150501/NE/2024NE000207.pdf","2024NE000207")</f>
        <v>2024NE000207</v>
      </c>
      <c r="H164" s="7">
        <v>1508.04</v>
      </c>
      <c r="I164" s="8" t="s">
        <v>164</v>
      </c>
      <c r="J164" s="12" t="s">
        <v>165</v>
      </c>
    </row>
    <row r="165" spans="1:10" ht="51" x14ac:dyDescent="0.25">
      <c r="A165" s="2" t="s">
        <v>45</v>
      </c>
      <c r="B165" s="3" t="s">
        <v>326</v>
      </c>
      <c r="C165" s="4" t="str">
        <f>HYPERLINK("http://www8.mpce.mp.br/Dispensa/4793720162.pdf","4793720162")</f>
        <v>4793720162</v>
      </c>
      <c r="D165" s="5">
        <v>45348</v>
      </c>
      <c r="E165" s="9" t="str">
        <f>HYPERLINK("https://www8.mpce.mp.br/Empenhos/150001/Objeto/14-2017.pdf","EMPENHO DE IPTU/2024  PARCELA ÚNICA, REF. À GALPÃO DE ALMOXARIFADO LOCALIZADO À RUA NENZINHA PARENTE, 610, BAIRRO JANGURUSSU, CONF. CONTRATO Nº 014/2017/PGJ.")</f>
        <v>EMPENHO DE IPTU/2024  PARCELA ÚNICA, REF. À GALPÃO DE ALMOXARIFADO LOCALIZADO À RUA NENZINHA PARENTE, 610, BAIRRO JANGURUSSU, CONF. CONTRATO Nº 014/2017/PGJ.</v>
      </c>
      <c r="F165" s="3" t="s">
        <v>264</v>
      </c>
      <c r="G165" s="6" t="str">
        <f>HYPERLINK("http://www8.mpce.mp.br/Empenhos/150501/NE/2024NE000208.pdf","2024NE000208")</f>
        <v>2024NE000208</v>
      </c>
      <c r="H165" s="7">
        <v>6257.88</v>
      </c>
      <c r="I165" s="8" t="s">
        <v>164</v>
      </c>
      <c r="J165" s="12" t="s">
        <v>165</v>
      </c>
    </row>
    <row r="166" spans="1:10" ht="38.25" x14ac:dyDescent="0.25">
      <c r="A166" s="2" t="s">
        <v>45</v>
      </c>
      <c r="B166" s="3" t="s">
        <v>327</v>
      </c>
      <c r="C166" s="4" t="str">
        <f>HYPERLINK("https://transparencia-area-fim.mpce.mp.br/#/consulta/processo/pastadigital/092021000079244","09.2021.00007924-4")</f>
        <v>09.2021.00007924-4</v>
      </c>
      <c r="D166" s="5">
        <v>45349</v>
      </c>
      <c r="E166" s="9" t="str">
        <f>HYPERLINK("https://www8.mpce.mp.br/Empenhos/150001/Objeto/27-2021.pdf","LOCAÇÃO DE IMÓVEL ONDE FUNCIONAM AS PROMOTORIAD DE EUSÉBIO-CE, REF AOS MESES DE JANEIRO E FEVEREWIRO/2024.CONTRATO 27/2021 POR ESTIMATIVA.")</f>
        <v>LOCAÇÃO DE IMÓVEL ONDE FUNCIONAM AS PROMOTORIAD DE EUSÉBIO-CE, REF AOS MESES DE JANEIRO E FEVEREWIRO/2024.CONTRATO 27/2021 POR ESTIMATIVA.</v>
      </c>
      <c r="F166" s="3" t="s">
        <v>127</v>
      </c>
      <c r="G166" s="6" t="str">
        <f>HYPERLINK("http://www8.mpce.mp.br/Empenhos/150501/NE/2024NE000212.pdf","2024NE000212")</f>
        <v>2024NE000212</v>
      </c>
      <c r="H166" s="7">
        <v>11092.2</v>
      </c>
      <c r="I166" s="8" t="s">
        <v>155</v>
      </c>
      <c r="J166" s="12" t="s">
        <v>156</v>
      </c>
    </row>
    <row r="167" spans="1:10" ht="63.75" x14ac:dyDescent="0.25">
      <c r="A167" s="2" t="s">
        <v>45</v>
      </c>
      <c r="B167" s="3" t="s">
        <v>328</v>
      </c>
      <c r="C167" s="4" t="str">
        <f>HYPERLINK("https://transparencia-area-fim.mpce.mp.br/#/consulta/processo/pastadigital/092024000039809","09.2024.00003980-9")</f>
        <v>09.2024.00003980-9</v>
      </c>
      <c r="D167" s="5">
        <v>45365</v>
      </c>
      <c r="E167" s="9" t="s">
        <v>329</v>
      </c>
      <c r="F167" s="3" t="s">
        <v>262</v>
      </c>
      <c r="G167" s="6" t="str">
        <f>HYPERLINK("http://www8.mpce.mp.br/Empenhos/150501/NE/2024NE000213.pdf","2024NE000213")</f>
        <v>2024NE000213</v>
      </c>
      <c r="H167" s="7">
        <v>720350</v>
      </c>
      <c r="I167" s="8" t="s">
        <v>255</v>
      </c>
      <c r="J167" s="12" t="s">
        <v>256</v>
      </c>
    </row>
    <row r="168" spans="1:10" ht="51" x14ac:dyDescent="0.25">
      <c r="A168" s="2" t="s">
        <v>20</v>
      </c>
      <c r="B168" s="3" t="s">
        <v>330</v>
      </c>
      <c r="C168" s="4" t="str">
        <f>HYPERLINK("https://transparencia-area-fim.mpce.mp.br/#/consulta/processo/pastadigital/092023000293915","09.2023.00029391-5")</f>
        <v>09.2023.00029391-5</v>
      </c>
      <c r="D168" s="5">
        <v>45350</v>
      </c>
      <c r="E168" s="9" t="str">
        <f>HYPERLINK("https://www8.mpce.mp.br/Empenhos/150001/Objeto/54-2023.pdf","REEMBOLSO DE IPTU DO IMÓVEL SITUADO NA RUA NENZINHA PARENTE, 590 - JANGURUSSU, FORTALEZA-CE, ONDE FUNCIONA O GALPÃO DO ALMOXARIFADO DA PGJ, CONF. CONTRATO 054/2023, REF. 2024-PARCELA ÚNICA.")</f>
        <v>REEMBOLSO DE IPTU DO IMÓVEL SITUADO NA RUA NENZINHA PARENTE, 590 - JANGURUSSU, FORTALEZA-CE, ONDE FUNCIONA O GALPÃO DO ALMOXARIFADO DA PGJ, CONF. CONTRATO 054/2023, REF. 2024-PARCELA ÚNICA.</v>
      </c>
      <c r="F168" s="3" t="s">
        <v>127</v>
      </c>
      <c r="G168" s="6" t="str">
        <f>HYPERLINK("http://www8.mpce.mp.br/Empenhos/150501/NE/2024NE000217.pdf","2024NE000217")</f>
        <v>2024NE000217</v>
      </c>
      <c r="H168" s="7">
        <v>3909.78</v>
      </c>
      <c r="I168" s="8" t="s">
        <v>164</v>
      </c>
      <c r="J168" s="12" t="s">
        <v>165</v>
      </c>
    </row>
    <row r="169" spans="1:10" ht="38.25" x14ac:dyDescent="0.25">
      <c r="A169" s="2" t="s">
        <v>45</v>
      </c>
      <c r="B169" s="3" t="s">
        <v>331</v>
      </c>
      <c r="C169" s="4" t="str">
        <f>HYPERLINK("https://transparencia-area-fim.mpce.mp.br/#/consulta/processo/pastadigital/092023000165633","09.2023.00016563-3")</f>
        <v>09.2023.00016563-3</v>
      </c>
      <c r="D169" s="5">
        <v>45350</v>
      </c>
      <c r="E169" s="9" t="s">
        <v>332</v>
      </c>
      <c r="F169" s="3" t="s">
        <v>333</v>
      </c>
      <c r="G169" s="6" t="str">
        <f>HYPERLINK("http://www8.mpce.mp.br/Empenhos/150501/NE/2024NE000218.pdf","2024NE000218")</f>
        <v>2024NE000218</v>
      </c>
      <c r="H169" s="7">
        <v>8780</v>
      </c>
      <c r="I169" s="8" t="s">
        <v>334</v>
      </c>
      <c r="J169" s="12" t="s">
        <v>335</v>
      </c>
    </row>
    <row r="170" spans="1:10" ht="38.25" x14ac:dyDescent="0.25">
      <c r="A170" s="2" t="s">
        <v>45</v>
      </c>
      <c r="B170" s="3" t="s">
        <v>201</v>
      </c>
      <c r="C170" s="4" t="str">
        <f>HYPERLINK("https://transparencia-area-fim.mpce.mp.br/#/consulta/processo/pastadigital/092022000343795","09.2022.00034379-5")</f>
        <v>09.2022.00034379-5</v>
      </c>
      <c r="D170" s="5">
        <v>45351</v>
      </c>
      <c r="E170" s="9" t="str">
        <f>HYPERLINK("https://www8.mpce.mp.br/Empenhos/150001/Objeto/25-2023.pdf","LOCAÇÃO DE IMÓVEL ONDE FUNCIONAM AS PROMOTORIAS DE COMARCA DE CANINDÉ-CE, CONF. CONTRATO 025/2023, REF. FEV E MAR/2024, POR ESTIMATIVA.")</f>
        <v>LOCAÇÃO DE IMÓVEL ONDE FUNCIONAM AS PROMOTORIAS DE COMARCA DE CANINDÉ-CE, CONF. CONTRATO 025/2023, REF. FEV E MAR/2024, POR ESTIMATIVA.</v>
      </c>
      <c r="F170" s="3" t="s">
        <v>127</v>
      </c>
      <c r="G170" s="6" t="str">
        <f>HYPERLINK("http://www8.mpce.mp.br/Empenhos/150501/NE/2024NE000219.pdf","2024NE000219")</f>
        <v>2024NE000219</v>
      </c>
      <c r="H170" s="7">
        <v>28000</v>
      </c>
      <c r="I170" s="8" t="s">
        <v>245</v>
      </c>
      <c r="J170" s="12" t="s">
        <v>246</v>
      </c>
    </row>
    <row r="171" spans="1:10" ht="51" x14ac:dyDescent="0.25">
      <c r="A171" s="2" t="s">
        <v>20</v>
      </c>
      <c r="B171" s="3" t="s">
        <v>298</v>
      </c>
      <c r="C171" s="4" t="str">
        <f>HYPERLINK("https://transparencia-area-fim.mpce.mp.br/#/consulta/processo/pastadigital/092023000214163","09.2023.00021416-3")</f>
        <v>09.2023.00021416-3</v>
      </c>
      <c r="D171" s="5">
        <v>45352</v>
      </c>
      <c r="E171" s="9" t="str">
        <f>HYPERLINK("https://www8.mpce.mp.br/Empenhos/150001/Objeto/56-2023.pdf","REEMBOLSO ATINENTE AO FORNECIMENTO DE ENERGIA ELÉTRICA DO IMÓVEL ONDE FUNCIONA A SEDE DAS PROMOTORIAS DE JUSTIÇA DE BATURITÉ, CONF. CONTRATO 056/2023, REF. AO PERÍODO DE 11/11 A 01/12/2023.")</f>
        <v>REEMBOLSO ATINENTE AO FORNECIMENTO DE ENERGIA ELÉTRICA DO IMÓVEL ONDE FUNCIONA A SEDE DAS PROMOTORIAS DE JUSTIÇA DE BATURITÉ, CONF. CONTRATO 056/2023, REF. AO PERÍODO DE 11/11 A 01/12/2023.</v>
      </c>
      <c r="F171" s="3" t="s">
        <v>236</v>
      </c>
      <c r="G171" s="6" t="str">
        <f>HYPERLINK("http://www8.mpce.mp.br/Empenhos/150501/NE/2024NE000220.pdf","2024NE000220")</f>
        <v>2024NE000220</v>
      </c>
      <c r="H171" s="7">
        <v>599.85</v>
      </c>
      <c r="I171" s="8" t="s">
        <v>167</v>
      </c>
      <c r="J171" s="12" t="s">
        <v>168</v>
      </c>
    </row>
    <row r="172" spans="1:10" ht="38.25" x14ac:dyDescent="0.25">
      <c r="A172" s="2" t="s">
        <v>45</v>
      </c>
      <c r="B172" s="3" t="s">
        <v>336</v>
      </c>
      <c r="C172" s="4" t="str">
        <f>HYPERLINK("https://transparencia-area-fim.mpce.mp.br/#/consulta/processo/pastadigital/092023000156189","09.2023.00015618-9")</f>
        <v>09.2023.00015618-9</v>
      </c>
      <c r="D172" s="5">
        <v>45355</v>
      </c>
      <c r="E172" s="9" t="s">
        <v>337</v>
      </c>
      <c r="F172" s="3" t="s">
        <v>338</v>
      </c>
      <c r="G172" s="6" t="str">
        <f>HYPERLINK("http://www8.mpce.mp.br/Empenhos/150501/NE/2024NE000221.pdf","2024NE000221")</f>
        <v>2024NE000221</v>
      </c>
      <c r="H172" s="7">
        <v>3206</v>
      </c>
      <c r="I172" s="8" t="s">
        <v>339</v>
      </c>
      <c r="J172" s="12" t="s">
        <v>340</v>
      </c>
    </row>
    <row r="173" spans="1:10" ht="38.25" x14ac:dyDescent="0.25">
      <c r="A173" s="2" t="s">
        <v>45</v>
      </c>
      <c r="B173" s="3" t="s">
        <v>336</v>
      </c>
      <c r="C173" s="4" t="str">
        <f>HYPERLINK("https://transparencia-area-fim.mpce.mp.br/#/consulta/processo/pastadigital/092023000156189","09.2023.00015618-9")</f>
        <v>09.2023.00015618-9</v>
      </c>
      <c r="D173" s="5">
        <v>45355</v>
      </c>
      <c r="E173" s="9" t="s">
        <v>341</v>
      </c>
      <c r="F173" s="3" t="s">
        <v>338</v>
      </c>
      <c r="G173" s="6" t="str">
        <f>HYPERLINK("http://www8.mpce.mp.br/Empenhos/150501/NE/2024NE000222.pdf","2024NE000222")</f>
        <v>2024NE000222</v>
      </c>
      <c r="H173" s="7">
        <v>1280</v>
      </c>
      <c r="I173" s="8" t="s">
        <v>342</v>
      </c>
      <c r="J173" s="12" t="s">
        <v>343</v>
      </c>
    </row>
    <row r="174" spans="1:10" ht="51" x14ac:dyDescent="0.25">
      <c r="A174" s="2" t="s">
        <v>45</v>
      </c>
      <c r="B174" s="3" t="s">
        <v>147</v>
      </c>
      <c r="C174" s="4" t="str">
        <f>HYPERLINK("https://transparencia-area-fim.mpce.mp.br/#/consulta/processo/pastadigital/092024000041337","09.2024.00004133-7")</f>
        <v>09.2024.00004133-7</v>
      </c>
      <c r="D174" s="5">
        <v>45338</v>
      </c>
      <c r="E174" s="9" t="s">
        <v>344</v>
      </c>
      <c r="F174" s="3" t="s">
        <v>314</v>
      </c>
      <c r="G174" s="6" t="str">
        <f>HYPERLINK("http://www8.mpce.mp.br/Empenhos/150001/NE/2024NE000225.pdf","2024NE000225")</f>
        <v>2024NE000225</v>
      </c>
      <c r="H174" s="7">
        <v>18000</v>
      </c>
      <c r="I174" s="8" t="s">
        <v>315</v>
      </c>
      <c r="J174" s="12" t="s">
        <v>316</v>
      </c>
    </row>
    <row r="175" spans="1:10" ht="63.75" x14ac:dyDescent="0.25">
      <c r="A175" s="2" t="s">
        <v>45</v>
      </c>
      <c r="B175" s="3" t="s">
        <v>345</v>
      </c>
      <c r="C175" s="4" t="str">
        <f>HYPERLINK("http://www8.mpce.mp.br/Dispensa/842220170.pdf","8422/20170")</f>
        <v>8422/20170</v>
      </c>
      <c r="D175" s="5">
        <v>45357</v>
      </c>
      <c r="E175" s="9" t="str">
        <f>HYPERLINK("https://www8.mpce.mp.br/Empenhos/150001/Objeto/16-2017.pdf","EMPENHO DE IPTU REFERENTE A 2ª PARCELA DE 2024, RELATIVO AO IMÓVEL ONDE FUNCIONAM AS PROMOTORIAS DE JUSTIÇA CRIMINAIS, LOCALIZADAS À AV. CEL. JOSÉ FILOMENO GOMES, 222, BAIRRO LUCIANO CAVALCANTE, CONF. CONTRATO Nº 016/2017/PGJ.")</f>
        <v>EMPENHO DE IPTU REFERENTE A 2ª PARCELA DE 2024, RELATIVO AO IMÓVEL ONDE FUNCIONAM AS PROMOTORIAS DE JUSTIÇA CRIMINAIS, LOCALIZADAS À AV. CEL. JOSÉ FILOMENO GOMES, 222, BAIRRO LUCIANO CAVALCANTE, CONF. CONTRATO Nº 016/2017/PGJ.</v>
      </c>
      <c r="F175" s="3" t="s">
        <v>264</v>
      </c>
      <c r="G175" s="6" t="str">
        <f>HYPERLINK("http://www8.mpce.mp.br/Empenhos/150501/NE/2024NE000228.pdf","2024NE000228")</f>
        <v>2024NE000228</v>
      </c>
      <c r="H175" s="7">
        <v>2619.0100000000002</v>
      </c>
      <c r="I175" s="8" t="s">
        <v>169</v>
      </c>
      <c r="J175" s="12" t="s">
        <v>170</v>
      </c>
    </row>
    <row r="176" spans="1:10" ht="89.25" x14ac:dyDescent="0.25">
      <c r="A176" s="2" t="s">
        <v>45</v>
      </c>
      <c r="B176" s="3" t="s">
        <v>346</v>
      </c>
      <c r="C176" s="4" t="str">
        <f>HYPERLINK("http://www8.mpce.mp.br/Dispensa/842220170.pdf","8422/20170")</f>
        <v>8422/20170</v>
      </c>
      <c r="D176" s="5">
        <v>45357</v>
      </c>
      <c r="E176" s="9" t="s">
        <v>347</v>
      </c>
      <c r="F176" s="3" t="s">
        <v>264</v>
      </c>
      <c r="G176" s="6" t="str">
        <f>HYPERLINK("http://www8.mpce.mp.br/Empenhos/150501/NE/2024NE000229.pdf","2024NE000229")</f>
        <v>2024NE000229</v>
      </c>
      <c r="H176" s="7">
        <v>152.32</v>
      </c>
      <c r="I176" s="8" t="s">
        <v>169</v>
      </c>
      <c r="J176" s="12" t="s">
        <v>170</v>
      </c>
    </row>
    <row r="177" spans="1:10" ht="51" x14ac:dyDescent="0.25">
      <c r="A177" s="2" t="s">
        <v>45</v>
      </c>
      <c r="B177" s="3" t="s">
        <v>348</v>
      </c>
      <c r="C177" s="4" t="str">
        <f>HYPERLINK("http://www8.mpce.mp.br/Dispensa/2826420164.pdf","28264/2016-4")</f>
        <v>28264/2016-4</v>
      </c>
      <c r="D177" s="5">
        <v>45357</v>
      </c>
      <c r="E177" s="9" t="str">
        <f>HYPERLINK("https://www8.mpce.mp.br/Empenhos/150001/Objeto/26-2016.pdf","EMPENHO DO ALUGUEL DO MÊS DE ABRIL DE 2024 DO IMÓVEL ONDE FUNCIONAM OS CENTROS DE APOIO OPERACIONAIS E ÓRGÃOS DE INVESTIGAÇÃO, REF. CONTRATO 026/2016/CPL/PGJ.")</f>
        <v>EMPENHO DO ALUGUEL DO MÊS DE ABRIL DE 2024 DO IMÓVEL ONDE FUNCIONAM OS CENTROS DE APOIO OPERACIONAIS E ÓRGÃOS DE INVESTIGAÇÃO, REF. CONTRATO 026/2016/CPL/PGJ.</v>
      </c>
      <c r="F177" s="3" t="s">
        <v>127</v>
      </c>
      <c r="G177" s="6" t="str">
        <f>HYPERLINK("http://www8.mpce.mp.br/Empenhos/150501/NE/2024NE000230.pdf","2024NE000230")</f>
        <v>2024NE000230</v>
      </c>
      <c r="H177" s="7">
        <v>61958.53</v>
      </c>
      <c r="I177" s="8" t="s">
        <v>153</v>
      </c>
      <c r="J177" s="12" t="s">
        <v>154</v>
      </c>
    </row>
    <row r="178" spans="1:10" ht="63.75" x14ac:dyDescent="0.25">
      <c r="A178" s="2" t="s">
        <v>45</v>
      </c>
      <c r="B178" s="3" t="s">
        <v>349</v>
      </c>
      <c r="C178" s="4" t="str">
        <f>HYPERLINK("http://www8.mpce.mp.br/Dispensa/4503020176.pdf","45030/2017-6")</f>
        <v>45030/2017-6</v>
      </c>
      <c r="D178" s="5">
        <v>45358</v>
      </c>
      <c r="E178" s="9" t="str">
        <f>HYPERLINK("https://www8.mpce.mp.br/Empenhos/150001/Objeto/74-2019.pdf","EMPENHO DE IPTU REFERENTE A COTA ÚNICA DE 2024, REF. À IMÓVEL ONDE FUNCIONAM AS PROMOTORIAS DE JUSTIÇA DE GRANJA, LOCALIZADO À RUA 2 DE NOVEMBRO, Nº 664, BAIRRO CENTRO, GRANJA/CE, EM CONSONÂNCIA COM O CONTRATO Nº 074/2019/PGJ.")</f>
        <v>EMPENHO DE IPTU REFERENTE A COTA ÚNICA DE 2024, REF. À IMÓVEL ONDE FUNCIONAM AS PROMOTORIAS DE JUSTIÇA DE GRANJA, LOCALIZADO À RUA 2 DE NOVEMBRO, Nº 664, BAIRRO CENTRO, GRANJA/CE, EM CONSONÂNCIA COM O CONTRATO Nº 074/2019/PGJ.</v>
      </c>
      <c r="F178" s="3" t="s">
        <v>264</v>
      </c>
      <c r="G178" s="6" t="str">
        <f>HYPERLINK("http://www8.mpce.mp.br/Empenhos/150501/NE/2024NE000231.pdf","2024NE000231")</f>
        <v>2024NE000231</v>
      </c>
      <c r="H178" s="7">
        <v>237.72</v>
      </c>
      <c r="I178" s="8" t="s">
        <v>247</v>
      </c>
      <c r="J178" s="12" t="s">
        <v>248</v>
      </c>
    </row>
    <row r="179" spans="1:10" ht="38.25" x14ac:dyDescent="0.25">
      <c r="A179" s="2" t="s">
        <v>45</v>
      </c>
      <c r="B179" s="3" t="s">
        <v>350</v>
      </c>
      <c r="C179" s="4" t="str">
        <f>HYPERLINK("http://www8.mpce.mp.br/Dispensa/4793720162.pdf","4793720162")</f>
        <v>4793720162</v>
      </c>
      <c r="D179" s="5">
        <v>45358</v>
      </c>
      <c r="E179" s="9" t="str">
        <f>HYPERLINK("https://www8.mpce.mp.br/Empenhos/150001/Objeto/14-2017.pdf","EMPENHO DO ALUGUEL DO MÊS DE ABRIL DE 2024, REF. AO IMÓVEL ONDE FUNCIONA O ALMOXARIFADO E PATRIMÔNIO, CONF.CONTRATO Nº 014/2017/PGJ.")</f>
        <v>EMPENHO DO ALUGUEL DO MÊS DE ABRIL DE 2024, REF. AO IMÓVEL ONDE FUNCIONA O ALMOXARIFADO E PATRIMÔNIO, CONF.CONTRATO Nº 014/2017/PGJ.</v>
      </c>
      <c r="F179" s="3" t="s">
        <v>127</v>
      </c>
      <c r="G179" s="6" t="str">
        <f>HYPERLINK("http://www8.mpce.mp.br/Empenhos/150501/NE/2024NE000232.pdf","2024NE000232")</f>
        <v>2024NE000232</v>
      </c>
      <c r="H179" s="7">
        <v>22143.48</v>
      </c>
      <c r="I179" s="8" t="s">
        <v>164</v>
      </c>
      <c r="J179" s="12" t="s">
        <v>165</v>
      </c>
    </row>
    <row r="180" spans="1:10" ht="51" x14ac:dyDescent="0.25">
      <c r="A180" s="2" t="s">
        <v>45</v>
      </c>
      <c r="B180" s="3" t="s">
        <v>345</v>
      </c>
      <c r="C180" s="4" t="str">
        <f>HYPERLINK("http://www8.mpce.mp.br/Dispensa/842220170.pdf","8422/20170")</f>
        <v>8422/20170</v>
      </c>
      <c r="D180" s="5">
        <v>45358</v>
      </c>
      <c r="E180" s="9" t="str">
        <f>HYPERLINK("https://www8.mpce.mp.br/Empenhos/150001/Objeto/16-2017.pdf","EMPENHO DO ALUGUEL DO MÊS DE ABRIL DE 2024, REF. AO IMÓVEL ONDE FUNCIONAM AS PROMOTORIAS DE JUSTIÇA CRIMINAIS DE FORTALEZA, EM CONSONÂNCIA COM O CONTRATO Nº 016/2017/PGJ.")</f>
        <v>EMPENHO DO ALUGUEL DO MÊS DE ABRIL DE 2024, REF. AO IMÓVEL ONDE FUNCIONAM AS PROMOTORIAS DE JUSTIÇA CRIMINAIS DE FORTALEZA, EM CONSONÂNCIA COM O CONTRATO Nº 016/2017/PGJ.</v>
      </c>
      <c r="F180" s="3" t="s">
        <v>127</v>
      </c>
      <c r="G180" s="6" t="str">
        <f>HYPERLINK("http://www8.mpce.mp.br/Empenhos/150501/NE/2024NE000233.pdf","2024NE000233")</f>
        <v>2024NE000233</v>
      </c>
      <c r="H180" s="7">
        <v>58910.97</v>
      </c>
      <c r="I180" s="8" t="s">
        <v>169</v>
      </c>
      <c r="J180" s="12" t="s">
        <v>170</v>
      </c>
    </row>
    <row r="181" spans="1:10" ht="51" x14ac:dyDescent="0.25">
      <c r="A181" s="2" t="s">
        <v>45</v>
      </c>
      <c r="B181" s="3" t="s">
        <v>351</v>
      </c>
      <c r="C181" s="4" t="str">
        <f>HYPERLINK("https://transparencia-area-fim.mpce.mp.br/#/consulta/processo/pastadigital/092022000197876","09.2022.00019787-6")</f>
        <v>09.2022.00019787-6</v>
      </c>
      <c r="D181" s="5">
        <v>45358</v>
      </c>
      <c r="E181" s="9" t="str">
        <f>HYPERLINK("https://www8.mpce.mp.br/Empenhos/150001/Objeto/02-2023.pdf","EMPENHO DO ALUGUEL DOS MÊS DE ABRIL DE 2024, REF. AO IMÓVEL ONDE FUNCIONA O NÚCLEO DE MEDIAÇÃO COMUNITÁRIA DO BOM JARDIM, EM CONFORMIDADE COM O CONTRATO Nº 002/2023/PGJ.")</f>
        <v>EMPENHO DO ALUGUEL DOS MÊS DE ABRIL DE 2024, REF. AO IMÓVEL ONDE FUNCIONA O NÚCLEO DE MEDIAÇÃO COMUNITÁRIA DO BOM JARDIM, EM CONFORMIDADE COM O CONTRATO Nº 002/2023/PGJ.</v>
      </c>
      <c r="F181" s="3" t="s">
        <v>127</v>
      </c>
      <c r="G181" s="6" t="str">
        <f>HYPERLINK("http://www8.mpce.mp.br/Empenhos/150501/NE/2024NE000234.pdf","2024NE000234")</f>
        <v>2024NE000234</v>
      </c>
      <c r="H181" s="7">
        <v>5600</v>
      </c>
      <c r="I181" s="8" t="s">
        <v>134</v>
      </c>
      <c r="J181" s="12" t="s">
        <v>135</v>
      </c>
    </row>
    <row r="182" spans="1:10" ht="45" x14ac:dyDescent="0.25">
      <c r="A182" s="2" t="s">
        <v>20</v>
      </c>
      <c r="B182" s="3" t="s">
        <v>352</v>
      </c>
      <c r="C182" s="4" t="str">
        <f>HYPERLINK("https://transparencia-area-fim.mpce.mp.br/#/consulta/processo/pastadigital/092023000293915","09.2023.00029391-5")</f>
        <v>09.2023.00029391-5</v>
      </c>
      <c r="D182" s="5">
        <v>45369</v>
      </c>
      <c r="E182" s="9" t="str">
        <f>HYPERLINK("https://www8.mpce.mp.br/Empenhos/150001/Objeto/54-2023.pdf","ALUGUEL DO IMÓVEL ONDE FUNCIONA O GALPÃO DO ALMOXARIFADO DA PGJ, CONF. CONTRATO 054/2023, REF. ABR/2024, POR ESTIMATIVA.")</f>
        <v>ALUGUEL DO IMÓVEL ONDE FUNCIONA O GALPÃO DO ALMOXARIFADO DA PGJ, CONF. CONTRATO 054/2023, REF. ABR/2024, POR ESTIMATIVA.</v>
      </c>
      <c r="F182" s="3" t="s">
        <v>127</v>
      </c>
      <c r="G182" s="6" t="str">
        <f>HYPERLINK("http://www8.mpce.mp.br/Empenhos/150501/NE/2024NE000235.pdf","2024NE000235")</f>
        <v>2024NE000235</v>
      </c>
      <c r="H182" s="7">
        <v>22000</v>
      </c>
      <c r="I182" s="8" t="s">
        <v>164</v>
      </c>
      <c r="J182" s="12" t="s">
        <v>165</v>
      </c>
    </row>
    <row r="183" spans="1:10" ht="38.25" x14ac:dyDescent="0.25">
      <c r="A183" s="2" t="s">
        <v>45</v>
      </c>
      <c r="B183" s="3" t="s">
        <v>353</v>
      </c>
      <c r="C183" s="4" t="str">
        <f>HYPERLINK("http://www8.mpce.mp.br/Dispensa/1721020046.pdf","17210/2004-6")</f>
        <v>17210/2004-6</v>
      </c>
      <c r="D183" s="5">
        <v>45358</v>
      </c>
      <c r="E183" s="9" t="str">
        <f>HYPERLINK("https://www8.mpce.mp.br/Empenhos/150001/Objeto/02-2004.pdf","EMPENHO DO ALUGUEL DO MÊS DE ABRIL DE 2024, REF AO IMÓVEL ONDE FUNCIONA O DECON DE FORTALEZA, RELATIVO AO CONTRATO Nº 002/2004/PGJ.")</f>
        <v>EMPENHO DO ALUGUEL DO MÊS DE ABRIL DE 2024, REF AO IMÓVEL ONDE FUNCIONA O DECON DE FORTALEZA, RELATIVO AO CONTRATO Nº 002/2004/PGJ.</v>
      </c>
      <c r="F183" s="3" t="s">
        <v>127</v>
      </c>
      <c r="G183" s="6" t="str">
        <f>HYPERLINK("http://www8.mpce.mp.br/Empenhos/150501/NE/2024NE000238.pdf","2024NE000238")</f>
        <v>2024NE000238</v>
      </c>
      <c r="H183" s="7">
        <v>35789.699999999997</v>
      </c>
      <c r="I183" s="8" t="s">
        <v>131</v>
      </c>
      <c r="J183" s="12" t="s">
        <v>132</v>
      </c>
    </row>
    <row r="184" spans="1:10" ht="51" x14ac:dyDescent="0.25">
      <c r="A184" s="2" t="s">
        <v>20</v>
      </c>
      <c r="B184" s="3" t="s">
        <v>354</v>
      </c>
      <c r="C184" s="4" t="str">
        <f>HYPERLINK("http://www8.mpce.mp.br/Inexigibilidade/1045920194.pdf","10459/2019-4")</f>
        <v>10459/2019-4</v>
      </c>
      <c r="D184" s="5">
        <v>45362</v>
      </c>
      <c r="E184" s="9" t="str">
        <f>HYPERLINK("https://www8.mpce.mp.br/Empenhos/150001/Objeto/47-2019.pdf","SERVIÇOS DE PERÍCIA E ASSESSORIA TÉCNICA ESPECIALIZADAS, CONF. CONTRATO 047/2019, PROPOSTA 012/2024/ASTEF E PROJETO 013/2022, REF. MAR-JUN/2024, POR ESTIMATIVA.")</f>
        <v>SERVIÇOS DE PERÍCIA E ASSESSORIA TÉCNICA ESPECIALIZADAS, CONF. CONTRATO 047/2019, PROPOSTA 012/2024/ASTEF E PROJETO 013/2022, REF. MAR-JUN/2024, POR ESTIMATIVA.</v>
      </c>
      <c r="F184" s="3" t="s">
        <v>92</v>
      </c>
      <c r="G184" s="6" t="str">
        <f>HYPERLINK("http://www8.mpce.mp.br/Empenhos/150501/NE/2024NE000239.pdf","2024NE000239")</f>
        <v>2024NE000239</v>
      </c>
      <c r="H184" s="7">
        <v>92282</v>
      </c>
      <c r="I184" s="8" t="s">
        <v>267</v>
      </c>
      <c r="J184" s="12" t="s">
        <v>268</v>
      </c>
    </row>
    <row r="185" spans="1:10" ht="76.5" x14ac:dyDescent="0.25">
      <c r="A185" s="2" t="s">
        <v>20</v>
      </c>
      <c r="B185" s="3" t="s">
        <v>355</v>
      </c>
      <c r="C185" s="4" t="str">
        <f>HYPERLINK("http://www8.mpce.mp.br/Inexigibilidade/1045920194.pdf","10459/2019-4")</f>
        <v>10459/2019-4</v>
      </c>
      <c r="D185" s="5">
        <v>45358</v>
      </c>
      <c r="E185" s="9" t="str">
        <f>HYPERLINK("https://www8.mpce.mp.br/Empenhos/150001/Objeto/47-2019.pdf","SERVIÇOS DE PERÍCIA E ASSESSORIA TÉCNICA ESPECIALIZADAS, CONF. CONTRATO 047/2019, REF. FEV-JUL/2024, POR ESTIMATIVA.OBSERVAÇÃO: ESTA NOTA DE EMPENHO SUBSTITUI A NED 2024NE000132, QUE FOI ANULADA EM SUA INTEGRALIDADE, POR ERRO DE CLASSIFICAÇÃO.")</f>
        <v>SERVIÇOS DE PERÍCIA E ASSESSORIA TÉCNICA ESPECIALIZADAS, CONF. CONTRATO 047/2019, REF. FEV-JUL/2024, POR ESTIMATIVA.OBSERVAÇÃO: ESTA NOTA DE EMPENHO SUBSTITUI A NED 2024NE000132, QUE FOI ANULADA EM SUA INTEGRALIDADE, POR ERRO DE CLASSIFICAÇÃO.</v>
      </c>
      <c r="F185" s="3" t="s">
        <v>266</v>
      </c>
      <c r="G185" s="6" t="str">
        <f>HYPERLINK("http://www8.mpce.mp.br/Empenhos/150501/NE/2024NE000241.pdf","2024NE000241")</f>
        <v>2024NE000241</v>
      </c>
      <c r="H185" s="7">
        <v>51948.800000000003</v>
      </c>
      <c r="I185" s="8" t="s">
        <v>267</v>
      </c>
      <c r="J185" s="12" t="s">
        <v>268</v>
      </c>
    </row>
    <row r="186" spans="1:10" ht="51" x14ac:dyDescent="0.25">
      <c r="A186" s="2" t="s">
        <v>45</v>
      </c>
      <c r="B186" s="3" t="s">
        <v>356</v>
      </c>
      <c r="C186" s="4" t="str">
        <f>HYPERLINK("https://transparencia-area-fim.mpce.mp.br/#/consulta/processo/pastadigital/092021000063220","09.2021.00006322-0")</f>
        <v>09.2021.00006322-0</v>
      </c>
      <c r="D186" s="5">
        <v>45362</v>
      </c>
      <c r="E186" s="9" t="str">
        <f>HYPERLINK("https://www8.mpce.mp.br/Empenhos/150001/Objeto/33-2021.pdf","EMPENHO DO ALUGUEL DO MÊS DE ABRIL  2024, REF. AO IMÓVEL ONDE FUNCIONAL AS PROMOTORIAS DE JUSTIÇA DA COMARCA DE SOBRAL, EM CONSONÂNCIA COM O CONTRATO Nº 033/2021/PGJ.")</f>
        <v>EMPENHO DO ALUGUEL DO MÊS DE ABRIL  2024, REF. AO IMÓVEL ONDE FUNCIONAL AS PROMOTORIAS DE JUSTIÇA DA COMARCA DE SOBRAL, EM CONSONÂNCIA COM O CONTRATO Nº 033/2021/PGJ.</v>
      </c>
      <c r="F186" s="3" t="s">
        <v>127</v>
      </c>
      <c r="G186" s="6" t="str">
        <f>HYPERLINK("http://www8.mpce.mp.br/Empenhos/150501/NE/2024NE000246.pdf","2024NE000246")</f>
        <v>2024NE000246</v>
      </c>
      <c r="H186" s="7">
        <v>33400.11</v>
      </c>
      <c r="I186" s="8" t="s">
        <v>145</v>
      </c>
      <c r="J186" s="12" t="s">
        <v>146</v>
      </c>
    </row>
    <row r="187" spans="1:10" ht="51" x14ac:dyDescent="0.25">
      <c r="A187" s="2" t="s">
        <v>45</v>
      </c>
      <c r="B187" s="3" t="s">
        <v>357</v>
      </c>
      <c r="C187" s="4" t="str">
        <f>HYPERLINK("https://transparencia-area-fim.mpce.mp.br/#/consulta/processo/pastadigital/092021000064195","09.2021.00006419-5")</f>
        <v>09.2021.00006419-5</v>
      </c>
      <c r="D187" s="5">
        <v>45369</v>
      </c>
      <c r="E187" s="9" t="str">
        <f>HYPERLINK("https://www8.mpce.mp.br/Empenhos/150001/Objeto/41-2021.pdf","ALUGUEL DO IMÓVEL ONDE FUNCIONA A SEDE DAS PROMOTORIAS DE JUSTIÇA DA COMARCA DE QUIXADÁ, CONF. CONTRATO 041/2021, REF. ABR/2024, POR ESTIMATIVA.")</f>
        <v>ALUGUEL DO IMÓVEL ONDE FUNCIONA A SEDE DAS PROMOTORIAS DE JUSTIÇA DA COMARCA DE QUIXADÁ, CONF. CONTRATO 041/2021, REF. ABR/2024, POR ESTIMATIVA.</v>
      </c>
      <c r="F187" s="3" t="s">
        <v>127</v>
      </c>
      <c r="G187" s="6" t="str">
        <f>HYPERLINK("http://www8.mpce.mp.br/Empenhos/150501/NE/2024NE000247.pdf","2024NE000247")</f>
        <v>2024NE000247</v>
      </c>
      <c r="H187" s="7">
        <v>18900</v>
      </c>
      <c r="I187" s="8" t="s">
        <v>140</v>
      </c>
      <c r="J187" s="12" t="s">
        <v>141</v>
      </c>
    </row>
    <row r="188" spans="1:10" ht="51" x14ac:dyDescent="0.25">
      <c r="A188" s="2" t="s">
        <v>45</v>
      </c>
      <c r="B188" s="3" t="s">
        <v>358</v>
      </c>
      <c r="C188" s="4" t="str">
        <f>HYPERLINK("https://transparencia-area-fim.mpce.mp.br/#/consulta/processo/pastadigital/092021000065217","09.2021.00006521-7")</f>
        <v>09.2021.00006521-7</v>
      </c>
      <c r="D188" s="5">
        <v>45369</v>
      </c>
      <c r="E188" s="9" t="str">
        <f>HYPERLINK("https://www8.mpce.mp.br/Empenhos/150001/Objeto/38-2021.pdf","EMPENHO DO ALUGUEL DO MÊS DE  JUNHO DE 2024, REF. À IMÓVEL ONDE FUNCIONAM AS PROMOTORIAS DE JUSTIÇA DA COMARCA DE TAUÁ EM REFERÊNCIA AO CONTRATO 038/2021/PGJ.")</f>
        <v>EMPENHO DO ALUGUEL DO MÊS DE  JUNHO DE 2024, REF. À IMÓVEL ONDE FUNCIONAM AS PROMOTORIAS DE JUSTIÇA DA COMARCA DE TAUÁ EM REFERÊNCIA AO CONTRATO 038/2021/PGJ.</v>
      </c>
      <c r="F188" s="3" t="s">
        <v>127</v>
      </c>
      <c r="G188" s="6" t="str">
        <f>HYPERLINK("http://www8.mpce.mp.br/Empenhos/150501/NE/2024NE000248.pdf","2024NE000248")</f>
        <v>2024NE000248</v>
      </c>
      <c r="H188" s="7">
        <v>18000</v>
      </c>
      <c r="I188" s="8" t="s">
        <v>157</v>
      </c>
      <c r="J188" s="12" t="s">
        <v>158</v>
      </c>
    </row>
    <row r="189" spans="1:10" ht="51" x14ac:dyDescent="0.25">
      <c r="A189" s="2" t="s">
        <v>45</v>
      </c>
      <c r="B189" s="3" t="s">
        <v>357</v>
      </c>
      <c r="C189" s="4" t="str">
        <f>HYPERLINK("https://transparencia-area-fim.mpce.mp.br/#/consulta/processo/pastadigital/092021000244449","09.2021.00024444-9")</f>
        <v>09.2021.00024444-9</v>
      </c>
      <c r="D189" s="5">
        <v>45369</v>
      </c>
      <c r="E189" s="9" t="str">
        <f>HYPERLINK("https://www8.mpce.mp.br/Empenhos/150001/Objeto/12-2022.pdf","ALUGUEL DO IMÓVEL ONDE FUNCIONA A SEDE DAS PROMOTORIAS DE JUSTIÇA DA COMARCA DE RUSSAS-CE, CONF. CONTRATO 012/2022, REF. ABR/2024, POR ESTIMATIVA.")</f>
        <v>ALUGUEL DO IMÓVEL ONDE FUNCIONA A SEDE DAS PROMOTORIAS DE JUSTIÇA DA COMARCA DE RUSSAS-CE, CONF. CONTRATO 012/2022, REF. ABR/2024, POR ESTIMATIVA.</v>
      </c>
      <c r="F189" s="3" t="s">
        <v>127</v>
      </c>
      <c r="G189" s="6" t="str">
        <f>HYPERLINK("http://www8.mpce.mp.br/Empenhos/150501/NE/2024NE000249.pdf","2024NE000249")</f>
        <v>2024NE000249</v>
      </c>
      <c r="H189" s="7">
        <v>20900</v>
      </c>
      <c r="I189" s="8" t="s">
        <v>140</v>
      </c>
      <c r="J189" s="12" t="s">
        <v>141</v>
      </c>
    </row>
    <row r="190" spans="1:10" ht="51" x14ac:dyDescent="0.25">
      <c r="A190" s="2" t="s">
        <v>45</v>
      </c>
      <c r="B190" s="3" t="s">
        <v>357</v>
      </c>
      <c r="C190" s="4" t="str">
        <f>HYPERLINK("https://transparencia-area-fim.mpce.mp.br/#/consulta/processo/pastadigital/092021000244582","09.2021.00024458-2")</f>
        <v>09.2021.00024458-2</v>
      </c>
      <c r="D190" s="5">
        <v>45369</v>
      </c>
      <c r="E190" s="9" t="str">
        <f>HYPERLINK("https://www8.mpce.mp.br/Empenhos/150001/Objeto/11-2022.pdf","ALUGUEL DO IMÓVEL ONDE FUNCIONA A SEDE DAS PROMOTORIAS DE JUSTIÇA DA COMARCA DE ARACATI, CONF. CONTRATO 011/2022, REF. ABR/2024, POR ESTIMATIVA.")</f>
        <v>ALUGUEL DO IMÓVEL ONDE FUNCIONA A SEDE DAS PROMOTORIAS DE JUSTIÇA DA COMARCA DE ARACATI, CONF. CONTRATO 011/2022, REF. ABR/2024, POR ESTIMATIVA.</v>
      </c>
      <c r="F190" s="3" t="s">
        <v>127</v>
      </c>
      <c r="G190" s="6" t="str">
        <f>HYPERLINK("http://www8.mpce.mp.br/Empenhos/150501/NE/2024NE000250.pdf","2024NE000250")</f>
        <v>2024NE000250</v>
      </c>
      <c r="H190" s="7">
        <v>18465</v>
      </c>
      <c r="I190" s="8" t="s">
        <v>182</v>
      </c>
      <c r="J190" s="12" t="s">
        <v>183</v>
      </c>
    </row>
    <row r="191" spans="1:10" ht="38.25" x14ac:dyDescent="0.25">
      <c r="A191" s="2" t="s">
        <v>45</v>
      </c>
      <c r="B191" s="3" t="s">
        <v>359</v>
      </c>
      <c r="C191" s="4" t="str">
        <f>HYPERLINK("https://transparencia-area-fim.mpce.mp.br/#/consulta/processo/pastadigital/092021000244550","09.2021.00024455-0")</f>
        <v>09.2021.00024455-0</v>
      </c>
      <c r="D191" s="5">
        <v>45369</v>
      </c>
      <c r="E191" s="9" t="str">
        <f>HYPERLINK("https://www8.mpce.mp.br/Empenhos/150001/Objeto/10-2022.pdf","EMPENHO DO ALUGUEL DO MÊS DE ABRIL DE 2024, REF. AO IMÓVEL ONDE FUNCIONAM AS PROMOTORIAS DE JUSTIÇA DA COMARCA DE ICÓ, CONF. CONTRATO Nº 010/2022/PGJ.")</f>
        <v>EMPENHO DO ALUGUEL DO MÊS DE ABRIL DE 2024, REF. AO IMÓVEL ONDE FUNCIONAM AS PROMOTORIAS DE JUSTIÇA DA COMARCA DE ICÓ, CONF. CONTRATO Nº 010/2022/PGJ.</v>
      </c>
      <c r="F191" s="3" t="s">
        <v>172</v>
      </c>
      <c r="G191" s="6" t="str">
        <f>HYPERLINK("http://www8.mpce.mp.br/Empenhos/150501/NE/2024NE000251.pdf","2024NE000251")</f>
        <v>2024NE000251</v>
      </c>
      <c r="H191" s="7">
        <v>13486.5</v>
      </c>
      <c r="I191" s="8" t="s">
        <v>228</v>
      </c>
      <c r="J191" s="12" t="s">
        <v>229</v>
      </c>
    </row>
    <row r="192" spans="1:10" ht="51" x14ac:dyDescent="0.25">
      <c r="A192" s="2" t="s">
        <v>20</v>
      </c>
      <c r="B192" s="3" t="s">
        <v>360</v>
      </c>
      <c r="C192" s="4" t="str">
        <f>HYPERLINK("https://transparencia-area-fim.mpce.mp.br/#/consulta/processo/pastadigital/092022000400426","09.2022.00040042-6")</f>
        <v>09.2022.00040042-6</v>
      </c>
      <c r="D192" s="5">
        <v>45341</v>
      </c>
      <c r="E192" s="9" t="s">
        <v>361</v>
      </c>
      <c r="F192" s="3" t="s">
        <v>362</v>
      </c>
      <c r="G192" s="6" t="str">
        <f>HYPERLINK("http://www8.mpce.mp.br/Empenhos/150001/NE/2024NE000252.pdf","2024NE000252")</f>
        <v>2024NE000252</v>
      </c>
      <c r="H192" s="7">
        <v>93478.8</v>
      </c>
      <c r="I192" s="8" t="s">
        <v>363</v>
      </c>
      <c r="J192" s="12" t="s">
        <v>364</v>
      </c>
    </row>
    <row r="193" spans="1:10" ht="38.25" x14ac:dyDescent="0.25">
      <c r="A193" s="2" t="s">
        <v>45</v>
      </c>
      <c r="B193" s="3" t="s">
        <v>365</v>
      </c>
      <c r="C193" s="4" t="str">
        <f>HYPERLINK("http://www8.mpce.mp.br/Dispensa/1984020196.pdf","19840/2019-6")</f>
        <v>19840/2019-6</v>
      </c>
      <c r="D193" s="5">
        <v>45369</v>
      </c>
      <c r="E193" s="9" t="str">
        <f>HYPERLINK("https://www8.mpce.mp.br/Empenhos/150001/Objeto/48-2019.pdf","ALUGUEL DO IMÓVEL ONDE FUNCIONA A SEDE DAS PROMOTORIAS DE JUSTIÇA DE CAUCAIA, CONF. CONTRATO 048/2019, REF. ABR/2024, POR ESTIMATIVA.")</f>
        <v>ALUGUEL DO IMÓVEL ONDE FUNCIONA A SEDE DAS PROMOTORIAS DE JUSTIÇA DE CAUCAIA, CONF. CONTRATO 048/2019, REF. ABR/2024, POR ESTIMATIVA.</v>
      </c>
      <c r="F193" s="3" t="s">
        <v>127</v>
      </c>
      <c r="G193" s="6" t="str">
        <f>HYPERLINK("http://www8.mpce.mp.br/Empenhos/150501/NE/2024NE000252.pdf","2024NE000252")</f>
        <v>2024NE000252</v>
      </c>
      <c r="H193" s="7">
        <v>45512.77</v>
      </c>
      <c r="I193" s="8" t="s">
        <v>162</v>
      </c>
      <c r="J193" s="12" t="s">
        <v>163</v>
      </c>
    </row>
    <row r="194" spans="1:10" ht="51" x14ac:dyDescent="0.25">
      <c r="A194" s="2" t="s">
        <v>45</v>
      </c>
      <c r="B194" s="3" t="s">
        <v>366</v>
      </c>
      <c r="C194" s="4" t="str">
        <f>HYPERLINK("https://transparencia-area-fim.mpce.mp.br/#/consulta/processo/pastadigital/092022000081432","09.2022.00008143-2")</f>
        <v>09.2022.00008143-2</v>
      </c>
      <c r="D194" s="5">
        <v>45369</v>
      </c>
      <c r="E194" s="9" t="str">
        <f>HYPERLINK("https://www8.mpce.mp.br/Empenhos/150001/Objeto/16-2022.pdf","EMPENHO DO ALUGUEL DO MÊS DE ABRIL DE2024, REF. AO IMÓVEL ONDE FUNCIONAM AS PROMOTORIAS DE JUSTIÇA DA COMARCA DE BARBALHA, RELATIVO AO CONTRATO Nº 016/2022/PGJ.")</f>
        <v>EMPENHO DO ALUGUEL DO MÊS DE ABRIL DE2024, REF. AO IMÓVEL ONDE FUNCIONAM AS PROMOTORIAS DE JUSTIÇA DA COMARCA DE BARBALHA, RELATIVO AO CONTRATO Nº 016/2022/PGJ.</v>
      </c>
      <c r="F194" s="3" t="s">
        <v>127</v>
      </c>
      <c r="G194" s="6" t="str">
        <f>HYPERLINK("http://www8.mpce.mp.br/Empenhos/150501/NE/2024NE000253.pdf","2024NE000253")</f>
        <v>2024NE000253</v>
      </c>
      <c r="H194" s="7">
        <v>16434.259999999998</v>
      </c>
      <c r="I194" s="8" t="s">
        <v>143</v>
      </c>
      <c r="J194" s="12" t="s">
        <v>144</v>
      </c>
    </row>
    <row r="195" spans="1:10" ht="51" x14ac:dyDescent="0.25">
      <c r="A195" s="2" t="s">
        <v>45</v>
      </c>
      <c r="B195" s="3" t="s">
        <v>372</v>
      </c>
      <c r="C195" s="4" t="str">
        <f>HYPERLINK("https://transparencia-area-fim.mpce.mp.br/#/consulta/processo/pastadigital/092021000244271","09.2021.00024427-1")</f>
        <v>09.2021.00024427-1</v>
      </c>
      <c r="D195" s="5">
        <v>45369</v>
      </c>
      <c r="E195" s="9" t="str">
        <f>HYPERLINK("https://www8.mpce.mp.br/Empenhos/150001/Objeto/17-2022.pdf","EMPENHO DO ALUGUEL DO MÊS DE ABRIL DE 2024, REF. AO IMÓVEL ONDE FUNCIONAM AS PROMOTORIAS DE JUSTIÇA DA COMARCA DE TIANGUÁ, RELATIVO AO CONTRATO Nº 017/2022/PGJ.")</f>
        <v>EMPENHO DO ALUGUEL DO MÊS DE ABRIL DE 2024, REF. AO IMÓVEL ONDE FUNCIONAM AS PROMOTORIAS DE JUSTIÇA DA COMARCA DE TIANGUÁ, RELATIVO AO CONTRATO Nº 017/2022/PGJ.</v>
      </c>
      <c r="F195" s="3" t="s">
        <v>127</v>
      </c>
      <c r="G195" s="6" t="str">
        <f>HYPERLINK("http://www8.mpce.mp.br/Empenhos/150501/NE/2024NE000254.pdf","2024NE000254")</f>
        <v>2024NE000254</v>
      </c>
      <c r="H195" s="7">
        <v>26000</v>
      </c>
      <c r="I195" s="8" t="s">
        <v>186</v>
      </c>
      <c r="J195" s="12" t="s">
        <v>187</v>
      </c>
    </row>
    <row r="196" spans="1:10" ht="63.75" x14ac:dyDescent="0.25">
      <c r="A196" s="2" t="s">
        <v>20</v>
      </c>
      <c r="B196" s="3" t="s">
        <v>367</v>
      </c>
      <c r="C196" s="4" t="str">
        <f>HYPERLINK("https://transparencia-area-fim.mpce.mp.br/#/consulta/processo/pastadigital/092024000011800","09.2024.00001180-0")</f>
        <v>09.2024.00001180-0</v>
      </c>
      <c r="D196" s="5">
        <v>45342</v>
      </c>
      <c r="E196" s="9" t="s">
        <v>368</v>
      </c>
      <c r="F196" s="3" t="s">
        <v>369</v>
      </c>
      <c r="G196" s="6" t="str">
        <f>HYPERLINK("http://www8.mpce.mp.br/Empenhos/150001/NE/2024NE000254.pdf","2024NE000254")</f>
        <v>2024NE000254</v>
      </c>
      <c r="H196" s="7">
        <v>650</v>
      </c>
      <c r="I196" s="8" t="s">
        <v>370</v>
      </c>
      <c r="J196" s="12" t="s">
        <v>371</v>
      </c>
    </row>
    <row r="197" spans="1:10" ht="51" x14ac:dyDescent="0.25">
      <c r="A197" s="2" t="s">
        <v>45</v>
      </c>
      <c r="B197" s="3" t="s">
        <v>373</v>
      </c>
      <c r="C197" s="4" t="str">
        <f>HYPERLINK("https://transparencia-area-fim.mpce.mp.br/#/consulta/processo/pastadigital/092021000244282","09.2021.00024428-2")</f>
        <v>09.2021.00024428-2</v>
      </c>
      <c r="D197" s="5">
        <v>45369</v>
      </c>
      <c r="E197" s="9" t="str">
        <f>HYPERLINK("https://www8.mpce.mp.br/Empenhos/150001/Objeto/18-2022.pdf","EMPENHO DO ALUGUEL DO MÊS DE ABRIL DE 2024, REF. AO IMÓVEL ONDE FUNCIONAM AS PROMOTORIAS DE JUSTIÇA DA COMARCA DE CRATEÚS, RELATIVO AO CONTRATO Nº 018/2022/PGJ.")</f>
        <v>EMPENHO DO ALUGUEL DO MÊS DE ABRIL DE 2024, REF. AO IMÓVEL ONDE FUNCIONAM AS PROMOTORIAS DE JUSTIÇA DA COMARCA DE CRATEÚS, RELATIVO AO CONTRATO Nº 018/2022/PGJ.</v>
      </c>
      <c r="F197" s="3" t="s">
        <v>127</v>
      </c>
      <c r="G197" s="6" t="str">
        <f>HYPERLINK("http://www8.mpce.mp.br/Empenhos/150501/NE/2024NE000255.pdf","2024NE000255")</f>
        <v>2024NE000255</v>
      </c>
      <c r="H197" s="7">
        <v>26000.1</v>
      </c>
      <c r="I197" s="8" t="s">
        <v>145</v>
      </c>
      <c r="J197" s="12" t="s">
        <v>146</v>
      </c>
    </row>
    <row r="198" spans="1:10" ht="51" x14ac:dyDescent="0.25">
      <c r="A198" s="2" t="s">
        <v>45</v>
      </c>
      <c r="B198" s="3" t="s">
        <v>374</v>
      </c>
      <c r="C198" s="4" t="str">
        <f>HYPERLINK("https://transparencia-area-fim.mpce.mp.br/#/consulta/processo/pastadigital/092022000230870","09.2022.00023087-0")</f>
        <v>09.2022.00023087-0</v>
      </c>
      <c r="D198" s="5">
        <v>45369</v>
      </c>
      <c r="E198" s="9" t="str">
        <f>HYPERLINK("https://www8.mpce.mp.br/Empenhos/150001/Objeto/29-2022.pdf","EMPENHO DO ALUGUEL DO MÊS DE ABRIL DE 2024, REF. AO IMÓVEL ONDE FUNCIONAM AS PROMOTORIAS DE JUSTIÇA DA COMARCA DE JUAZEIRO DO NORTE, RELATIVO AO CONTRATO 029/2022/PGJ.")</f>
        <v>EMPENHO DO ALUGUEL DO MÊS DE ABRIL DE 2024, REF. AO IMÓVEL ONDE FUNCIONAM AS PROMOTORIAS DE JUSTIÇA DA COMARCA DE JUAZEIRO DO NORTE, RELATIVO AO CONTRATO 029/2022/PGJ.</v>
      </c>
      <c r="F198" s="3" t="s">
        <v>127</v>
      </c>
      <c r="G198" s="6" t="str">
        <f>HYPERLINK("http://www8.mpce.mp.br/Empenhos/150501/NE/2024NE000256.pdf","2024NE000256")</f>
        <v>2024NE000256</v>
      </c>
      <c r="H198" s="7">
        <v>66161.41</v>
      </c>
      <c r="I198" s="8" t="s">
        <v>143</v>
      </c>
      <c r="J198" s="12" t="s">
        <v>144</v>
      </c>
    </row>
    <row r="199" spans="1:10" ht="51" x14ac:dyDescent="0.25">
      <c r="A199" s="2" t="s">
        <v>45</v>
      </c>
      <c r="B199" s="3" t="s">
        <v>375</v>
      </c>
      <c r="C199" s="4" t="str">
        <f>HYPERLINK("https://transparencia-area-fim.mpce.mp.br/#/consulta/processo/pastadigital/092022000343751","09.2022.00034375-1")</f>
        <v>09.2022.00034375-1</v>
      </c>
      <c r="D199" s="5">
        <v>45369</v>
      </c>
      <c r="E199" s="9" t="str">
        <f>HYPERLINK("https://www8.mpce.mp.br/Empenhos/150001/Objeto/08-2023.pdf","EMPENHO DO ALUGUEL DOS MÊS DE ABRIL  2024, REF. AO IMÓVEL ONDE FUNCIONAM AS PROMOTORIAS DE JUSTIÇA DA COMARCA DE QUIXERAMOBIM, RELATIVO AO CONTRATO Nº 008/2023/PGJ.")</f>
        <v>EMPENHO DO ALUGUEL DOS MÊS DE ABRIL  2024, REF. AO IMÓVEL ONDE FUNCIONAM AS PROMOTORIAS DE JUSTIÇA DA COMARCA DE QUIXERAMOBIM, RELATIVO AO CONTRATO Nº 008/2023/PGJ.</v>
      </c>
      <c r="F199" s="3" t="s">
        <v>127</v>
      </c>
      <c r="G199" s="6" t="str">
        <f>HYPERLINK("http://www8.mpce.mp.br/Empenhos/150501/NE/2024NE000257.pdf","2024NE000257")</f>
        <v>2024NE000257</v>
      </c>
      <c r="H199" s="7">
        <v>14180</v>
      </c>
      <c r="I199" s="8" t="s">
        <v>140</v>
      </c>
      <c r="J199" s="12" t="s">
        <v>141</v>
      </c>
    </row>
    <row r="200" spans="1:10" ht="51" x14ac:dyDescent="0.25">
      <c r="A200" s="2" t="s">
        <v>45</v>
      </c>
      <c r="B200" s="3" t="s">
        <v>376</v>
      </c>
      <c r="C200" s="4" t="str">
        <f>HYPERLINK("https://transparencia-area-fim.mpce.mp.br/#/consulta/processo/pastadigital/092022000343829","09.2022.00034382-9")</f>
        <v>09.2022.00034382-9</v>
      </c>
      <c r="D200" s="5">
        <v>45369</v>
      </c>
      <c r="E200" s="9" t="str">
        <f>HYPERLINK("https://www8.mpce.mp.br/Empenhos/150001/Objeto/10-2023.pdf","EMPENHO DO ALUGUEL DO MÊS DE ABRIL DE 2024, REF. AO IMÓVEL ONDE FUNCIONAM AS PROMOTORIAS DE JUSTIÇA DA COMARCA DE ITAPAJÉ, RELATIVO AO CONTRATO Nº 010/2023/PGJ.")</f>
        <v>EMPENHO DO ALUGUEL DO MÊS DE ABRIL DE 2024, REF. AO IMÓVEL ONDE FUNCIONAM AS PROMOTORIAS DE JUSTIÇA DA COMARCA DE ITAPAJÉ, RELATIVO AO CONTRATO Nº 010/2023/PGJ.</v>
      </c>
      <c r="F200" s="3" t="s">
        <v>127</v>
      </c>
      <c r="G200" s="6" t="str">
        <f>HYPERLINK("http://www8.mpce.mp.br/Empenhos/150501/NE/2024NE000258.pdf","2024NE000258")</f>
        <v>2024NE000258</v>
      </c>
      <c r="H200" s="7">
        <v>13612</v>
      </c>
      <c r="I200" s="8" t="s">
        <v>140</v>
      </c>
      <c r="J200" s="12" t="s">
        <v>141</v>
      </c>
    </row>
    <row r="201" spans="1:10" ht="51" x14ac:dyDescent="0.25">
      <c r="A201" s="2" t="s">
        <v>45</v>
      </c>
      <c r="B201" s="3" t="s">
        <v>377</v>
      </c>
      <c r="C201" s="4" t="str">
        <f>HYPERLINK("https://transparencia-area-fim.mpce.mp.br/#/consulta/processo/pastadigital/092022000343818","09.2022.00034381-8")</f>
        <v>09.2022.00034381-8</v>
      </c>
      <c r="D201" s="5">
        <v>45369</v>
      </c>
      <c r="E201" s="9" t="str">
        <f>HYPERLINK("https://www8.mpce.mp.br/Empenhos/150001/Objeto/24-2023.pdf","EMPENHO DO ALUGUEL DO MÊS DE ABRIL DE 2024, REF. AO IMÓVEL ONDE FUNCIONAM AS PROMOTORIAS DE JUSTIÇA DA COMARCA DE ITAPIPOCA, RELATIVO AO CONTRATO Nº 024/2023/PGJ.")</f>
        <v>EMPENHO DO ALUGUEL DO MÊS DE ABRIL DE 2024, REF. AO IMÓVEL ONDE FUNCIONAM AS PROMOTORIAS DE JUSTIÇA DA COMARCA DE ITAPIPOCA, RELATIVO AO CONTRATO Nº 024/2023/PGJ.</v>
      </c>
      <c r="F201" s="3" t="s">
        <v>127</v>
      </c>
      <c r="G201" s="6" t="str">
        <f>HYPERLINK("http://www8.mpce.mp.br/Empenhos/150501/NE/2024NE000259.pdf","2024NE000259")</f>
        <v>2024NE000259</v>
      </c>
      <c r="H201" s="7">
        <v>18000</v>
      </c>
      <c r="I201" s="8" t="s">
        <v>251</v>
      </c>
      <c r="J201" s="12" t="s">
        <v>252</v>
      </c>
    </row>
    <row r="202" spans="1:10" ht="51" x14ac:dyDescent="0.25">
      <c r="A202" s="2" t="s">
        <v>45</v>
      </c>
      <c r="B202" s="3" t="s">
        <v>378</v>
      </c>
      <c r="C202" s="4" t="str">
        <f>HYPERLINK("https://transparencia-area-fim.mpce.mp.br/#/consulta/processo/pastadigital/092022000343840","09.2022.00034384-0")</f>
        <v>09.2022.00034384-0</v>
      </c>
      <c r="D202" s="5">
        <v>45371</v>
      </c>
      <c r="E202" s="9" t="str">
        <f>HYPERLINK("https://www8.mpce.mp.br/Empenhos/150001/Objeto/11-2023.pdf","EMPENHO DO ALUGUEL DO MÊS DE ABRIL DE 2024, RELATIVO AO IMÓVEL ONDE FUNCIONAM AS PROMOTORIAS DE JUSTIÇA DA COMARCA DE SANTA QUITÉRIA, CONF. CONTRATO Nº 011/2023/PGJ.")</f>
        <v>EMPENHO DO ALUGUEL DO MÊS DE ABRIL DE 2024, RELATIVO AO IMÓVEL ONDE FUNCIONAM AS PROMOTORIAS DE JUSTIÇA DA COMARCA DE SANTA QUITÉRIA, CONF. CONTRATO Nº 011/2023/PGJ.</v>
      </c>
      <c r="F202" s="3" t="s">
        <v>127</v>
      </c>
      <c r="G202" s="6" t="str">
        <f>HYPERLINK("http://www8.mpce.mp.br/Empenhos/150501/NE/2024NE000260.pdf","2024NE000260")</f>
        <v>2024NE000260</v>
      </c>
      <c r="H202" s="7">
        <v>13200</v>
      </c>
      <c r="I202" s="8" t="s">
        <v>249</v>
      </c>
      <c r="J202" s="12" t="s">
        <v>250</v>
      </c>
    </row>
    <row r="203" spans="1:10" ht="51" x14ac:dyDescent="0.25">
      <c r="A203" s="2" t="s">
        <v>45</v>
      </c>
      <c r="B203" s="3" t="s">
        <v>357</v>
      </c>
      <c r="C203" s="4" t="str">
        <f>HYPERLINK("https://transparencia-area-fim.mpce.mp.br/#/consulta/processo/pastadigital/092022000343795","09.2022.00034379-5")</f>
        <v>09.2022.00034379-5</v>
      </c>
      <c r="D203" s="5">
        <v>45369</v>
      </c>
      <c r="E203" s="9" t="str">
        <f>HYPERLINK("https://www8.mpce.mp.br/Empenhos/150001/Objeto/25-2023.pdf","ALUGUEL DO IMÓVEL ONDE FUNCIONA A SEDE DAS PROMOTORIAS DE JUSTIÇA DA COMARCA DE CANINDÉ, CONF. CONTRATO 025/2023, REF. ABR/2024, POR ESTIMATIVA.")</f>
        <v>ALUGUEL DO IMÓVEL ONDE FUNCIONA A SEDE DAS PROMOTORIAS DE JUSTIÇA DA COMARCA DE CANINDÉ, CONF. CONTRATO 025/2023, REF. ABR/2024, POR ESTIMATIVA.</v>
      </c>
      <c r="F203" s="3" t="s">
        <v>127</v>
      </c>
      <c r="G203" s="6" t="str">
        <f>HYPERLINK("http://www8.mpce.mp.br/Empenhos/150501/NE/2024NE000261.pdf","2024NE000261")</f>
        <v>2024NE000261</v>
      </c>
      <c r="H203" s="7">
        <v>14000</v>
      </c>
      <c r="I203" s="8" t="s">
        <v>245</v>
      </c>
      <c r="J203" s="12" t="s">
        <v>246</v>
      </c>
    </row>
    <row r="204" spans="1:10" ht="51" x14ac:dyDescent="0.25">
      <c r="A204" s="2" t="s">
        <v>20</v>
      </c>
      <c r="B204" s="3" t="s">
        <v>379</v>
      </c>
      <c r="C204" s="4" t="str">
        <f>HYPERLINK("http://www8.mpce.mp.br/Inexigibilidade/2903020176.pdf","29030/2017-6")</f>
        <v>29030/2017-6</v>
      </c>
      <c r="D204" s="5">
        <v>45362</v>
      </c>
      <c r="E204" s="9" t="str">
        <f>HYPERLINK("https://www8.mpce.mp.br/Empenhos/150001/Objeto/31-2018.pdf","SISTEMA SAJ-MP  ACOMPANHAMENTO DA OPERAÇÃO E HOSPEDAGEM EM NUVEM, POR ESTIMATIVA, REF.  AOS MESES DE JAN, FEV E MARÇO, CONF. CONTRATO Nº 031/2018 E PROJETO Nº 052/20243.")</f>
        <v>SISTEMA SAJ-MP  ACOMPANHAMENTO DA OPERAÇÃO E HOSPEDAGEM EM NUVEM, POR ESTIMATIVA, REF.  AOS MESES DE JAN, FEV E MARÇO, CONF. CONTRATO Nº 031/2018 E PROJETO Nº 052/20243.</v>
      </c>
      <c r="F204" s="3" t="s">
        <v>82</v>
      </c>
      <c r="G204" s="6" t="str">
        <f>HYPERLINK("http://www8.mpce.mp.br/Empenhos/150501/NE/2024NE000262.pdf","2024NE000262")</f>
        <v>2024NE000262</v>
      </c>
      <c r="H204" s="7">
        <v>493161.21</v>
      </c>
      <c r="I204" s="8" t="s">
        <v>83</v>
      </c>
      <c r="J204" s="12" t="s">
        <v>84</v>
      </c>
    </row>
    <row r="205" spans="1:10" ht="63.75" x14ac:dyDescent="0.25">
      <c r="A205" s="2" t="s">
        <v>45</v>
      </c>
      <c r="B205" s="3" t="s">
        <v>357</v>
      </c>
      <c r="C205" s="4" t="str">
        <f>HYPERLINK("http://www8.mpce.mp.br/Dispensa/4572720144.pdf","45727/2014-4")</f>
        <v>45727/2014-4</v>
      </c>
      <c r="D205" s="5">
        <v>45369</v>
      </c>
      <c r="E205" s="9" t="str">
        <f>HYPERLINK("https://www8.mpce.mp.br/Empenhos/150001/Objeto/01-2015.pdf","ALUGUEL DE 18 (DEZOITO) SALAS COMERCIAIS ONDE FUNCIONAM PROMOTORIAS DE JUSTIÇA DE JUAZEIRO DO NORTE, DECON E NÚCLEO DE GÊNERO E TUTELA COLETIVA E DO NÚCLEO DE GÊNERO PRÓ-MULHER, CONF. CONTRATO 001/2015, REF. ABR/2024, POR ESTIMATIVA.")</f>
        <v>ALUGUEL DE 18 (DEZOITO) SALAS COMERCIAIS ONDE FUNCIONAM PROMOTORIAS DE JUSTIÇA DE JUAZEIRO DO NORTE, DECON E NÚCLEO DE GÊNERO E TUTELA COLETIVA E DO NÚCLEO DE GÊNERO PRÓ-MULHER, CONF. CONTRATO 001/2015, REF. ABR/2024, POR ESTIMATIVA.</v>
      </c>
      <c r="F205" s="3" t="s">
        <v>127</v>
      </c>
      <c r="G205" s="6" t="str">
        <f>HYPERLINK("http://www8.mpce.mp.br/Empenhos/150501/NE/2024NE000266.pdf","2024NE000266")</f>
        <v>2024NE000266</v>
      </c>
      <c r="H205" s="7">
        <v>32762.63</v>
      </c>
      <c r="I205" s="8" t="s">
        <v>226</v>
      </c>
      <c r="J205" s="12" t="s">
        <v>227</v>
      </c>
    </row>
    <row r="206" spans="1:10" ht="38.25" x14ac:dyDescent="0.25">
      <c r="A206" s="2" t="s">
        <v>45</v>
      </c>
      <c r="B206" s="3" t="s">
        <v>357</v>
      </c>
      <c r="C206" s="4" t="str">
        <f>HYPERLINK("http://www8.mpce.mp.br/Dispensa/575920103.pdf","5759/2010-3")</f>
        <v>5759/2010-3</v>
      </c>
      <c r="D206" s="5">
        <v>45373</v>
      </c>
      <c r="E206" s="9" t="str">
        <f>HYPERLINK("https://www8.mpce.mp.br/Empenhos/150001/Objeto/22-2010.pdf","ALUGUEL DO MÓVEL ONDE FUNCIONA A SEDE DAS PROMOTORIAS DE JUSTIÇA DA COMARCA DE GUAIÚBA, REF. ABR/2024, POR ESTIMATIVA.")</f>
        <v>ALUGUEL DO MÓVEL ONDE FUNCIONA A SEDE DAS PROMOTORIAS DE JUSTIÇA DA COMARCA DE GUAIÚBA, REF. ABR/2024, POR ESTIMATIVA.</v>
      </c>
      <c r="F206" s="3" t="s">
        <v>172</v>
      </c>
      <c r="G206" s="6" t="str">
        <f>HYPERLINK("http://www8.mpce.mp.br/Empenhos/150501/NE/2024NE000267.pdf","2024NE000267")</f>
        <v>2024NE000267</v>
      </c>
      <c r="H206" s="7">
        <v>2341.9699999999998</v>
      </c>
      <c r="I206" s="8" t="s">
        <v>222</v>
      </c>
      <c r="J206" s="12" t="s">
        <v>223</v>
      </c>
    </row>
    <row r="207" spans="1:10" ht="76.5" x14ac:dyDescent="0.25">
      <c r="A207" s="2" t="s">
        <v>45</v>
      </c>
      <c r="B207" s="3" t="s">
        <v>380</v>
      </c>
      <c r="C207" s="4" t="str">
        <f>HYPERLINK("https://transparencia-area-fim.mpce.mp.br/#/consulta/processo/pastadigital/092022000120475","09.2022.00012047-5")</f>
        <v>09.2022.00012047-5</v>
      </c>
      <c r="D207" s="5">
        <v>45345</v>
      </c>
      <c r="E207" s="9" t="str">
        <f>HYPERLINK("https://www8.mpce.mp.br/Empenhos/150001/Objeto/54-2022.pdf","EMPENHO DE SERVIÇOS DE INFORMAÇÕES DE CRÉDITOS, REF. : 1º TERMO DE APOSTILAMENTO AO CONTATO N. 054/2022, CELEBRADO COM A EMPRESA CREDILINK INFORMAÇÕES DE CRÉDITO, RELATIVO À PRESTAÇÃO DE CONSULTA DE DADOS CADASTRAIS DE ÂMBITO NACIONAL, VIA WEB SERVICE.")</f>
        <v>EMPENHO DE SERVIÇOS DE INFORMAÇÕES DE CRÉDITOS, REF. : 1º TERMO DE APOSTILAMENTO AO CONTATO N. 054/2022, CELEBRADO COM A EMPRESA CREDILINK INFORMAÇÕES DE CRÉDITO, RELATIVO À PRESTAÇÃO DE CONSULTA DE DADOS CADASTRAIS DE ÂMBITO NACIONAL, VIA WEB SERVICE.</v>
      </c>
      <c r="F207" s="3" t="s">
        <v>236</v>
      </c>
      <c r="G207" s="6" t="str">
        <f>HYPERLINK("http://www8.mpce.mp.br/Empenhos/150001/NE/2024NE000267.pdf","2024NE000267")</f>
        <v>2024NE000267</v>
      </c>
      <c r="H207" s="7">
        <v>785.6</v>
      </c>
      <c r="I207" s="8" t="s">
        <v>237</v>
      </c>
      <c r="J207" s="12" t="s">
        <v>238</v>
      </c>
    </row>
    <row r="208" spans="1:10" ht="76.5" x14ac:dyDescent="0.25">
      <c r="A208" s="2" t="s">
        <v>45</v>
      </c>
      <c r="B208" s="3" t="s">
        <v>357</v>
      </c>
      <c r="C208" s="4" t="str">
        <f>HYPERLINK("http://www8.mpce.mp.br/Dispensa/4572720144.pdf","45727/2014-4")</f>
        <v>45727/2014-4</v>
      </c>
      <c r="D208" s="5">
        <v>45369</v>
      </c>
      <c r="E208" s="9" t="str">
        <f>HYPERLINK("https://www8.mpce.mp.br/Empenhos/150001/Objeto/01-2015.pdf","TAXAS CONDOMINIAIS REF. 18 (DEZOITO) SALAS COMERCIAIS ONDE FUNCIONAM PROMOTORIAS DE JUSTIÇA DE JUAZEIRO DO NORTE, DECON E NÚCLEO DE GÊNERO E TUTELA COLETIVA E DO NÚCLEO DE GÊNERO PRÓ-MULHER, CONF. CONTRATO 001/2015, REF. ABR/2024, POR ESTIMATIVA.")</f>
        <v>TAXAS CONDOMINIAIS REF. 18 (DEZOITO) SALAS COMERCIAIS ONDE FUNCIONAM PROMOTORIAS DE JUSTIÇA DE JUAZEIRO DO NORTE, DECON E NÚCLEO DE GÊNERO E TUTELA COLETIVA E DO NÚCLEO DE GÊNERO PRÓ-MULHER, CONF. CONTRATO 001/2015, REF. ABR/2024, POR ESTIMATIVA.</v>
      </c>
      <c r="F208" s="3" t="s">
        <v>242</v>
      </c>
      <c r="G208" s="6" t="str">
        <f>HYPERLINK("http://www8.mpce.mp.br/Empenhos/150501/NE/2024NE000268.pdf","2024NE000268")</f>
        <v>2024NE000268</v>
      </c>
      <c r="H208" s="7">
        <v>6840</v>
      </c>
      <c r="I208" s="8" t="s">
        <v>226</v>
      </c>
      <c r="J208" s="12" t="s">
        <v>227</v>
      </c>
    </row>
    <row r="209" spans="1:10" ht="51" x14ac:dyDescent="0.25">
      <c r="A209" s="2" t="s">
        <v>45</v>
      </c>
      <c r="B209" s="3" t="s">
        <v>381</v>
      </c>
      <c r="C209" s="4" t="str">
        <f>HYPERLINK("http://www8.mpce.mp.br/Dispensa/146020136.pdf","1460/2013-6")</f>
        <v>1460/2013-6</v>
      </c>
      <c r="D209" s="5">
        <v>45369</v>
      </c>
      <c r="E209" s="9" t="str">
        <f>HYPERLINK("https://www8.mpce.mp.br/Empenhos/150001/Objeto/39-2013.pdf","EMPENHO DO ALUGUEL DO MÊS DE ABRIL  2024, REF. AO IMÓVEL ONDE FUNCIONAS AS PROMOTORIAS DE JUSTIÇA DA COMARCA DE CASCAVEL, RELATIVO AO CONTRATO Nº 039/2013/CPL/PGJ.")</f>
        <v>EMPENHO DO ALUGUEL DO MÊS DE ABRIL  2024, REF. AO IMÓVEL ONDE FUNCIONAS AS PROMOTORIAS DE JUSTIÇA DA COMARCA DE CASCAVEL, RELATIVO AO CONTRATO Nº 039/2013/CPL/PGJ.</v>
      </c>
      <c r="F209" s="3" t="s">
        <v>172</v>
      </c>
      <c r="G209" s="6" t="str">
        <f>HYPERLINK("http://www8.mpce.mp.br/Empenhos/150501/NE/2024NE000269.pdf","2024NE000269")</f>
        <v>2024NE000269</v>
      </c>
      <c r="H209" s="7">
        <v>4341.5600000000004</v>
      </c>
      <c r="I209" s="8" t="s">
        <v>243</v>
      </c>
      <c r="J209" s="12" t="s">
        <v>244</v>
      </c>
    </row>
    <row r="210" spans="1:10" ht="51" x14ac:dyDescent="0.25">
      <c r="A210" s="2" t="s">
        <v>45</v>
      </c>
      <c r="B210" s="3" t="s">
        <v>382</v>
      </c>
      <c r="C210" s="4" t="str">
        <f>HYPERLINK("http://www8.mpce.mp.br/Dispensa/1320920133.pdf","13209/2013-3")</f>
        <v>13209/2013-3</v>
      </c>
      <c r="D210" s="5">
        <v>45369</v>
      </c>
      <c r="E210" s="9" t="str">
        <f>HYPERLINK("https://www8.mpce.mp.br/Empenhos/150001/Objeto/43-2013.pdf","EMPENHO DO ALUGUEL DO MÊS DE ABRIL DE 2024, REF. AO IMÓVEL ONDE FUNCIONAM AS PROMOTORIAS DE JUSTIÇA DA COMARCA DE MORADA NOVA, CONF. CONTRATO Nº 043/2013/CPL/PGJ.")</f>
        <v>EMPENHO DO ALUGUEL DO MÊS DE ABRIL DE 2024, REF. AO IMÓVEL ONDE FUNCIONAM AS PROMOTORIAS DE JUSTIÇA DA COMARCA DE MORADA NOVA, CONF. CONTRATO Nº 043/2013/CPL/PGJ.</v>
      </c>
      <c r="F210" s="3" t="s">
        <v>172</v>
      </c>
      <c r="G210" s="6" t="str">
        <f>HYPERLINK("http://www8.mpce.mp.br/Empenhos/150501/NE/2024NE000270.pdf","2024NE000270")</f>
        <v>2024NE000270</v>
      </c>
      <c r="H210" s="7">
        <v>8150.28</v>
      </c>
      <c r="I210" s="8" t="s">
        <v>188</v>
      </c>
      <c r="J210" s="12" t="s">
        <v>189</v>
      </c>
    </row>
    <row r="211" spans="1:10" ht="51" x14ac:dyDescent="0.25">
      <c r="A211" s="2" t="s">
        <v>45</v>
      </c>
      <c r="B211" s="3" t="s">
        <v>357</v>
      </c>
      <c r="C211" s="4" t="str">
        <f>HYPERLINK("https://transparencia-area-fim.mpce.mp.br/#/consulta/processo/pastadigital/092021000079244","09.2021.00007924-4")</f>
        <v>09.2021.00007924-4</v>
      </c>
      <c r="D211" s="5">
        <v>45369</v>
      </c>
      <c r="E211" s="9" t="str">
        <f>HYPERLINK("https://www8.mpce.mp.br/Empenhos/150001/Objeto/27-2021.pdf","ALUGUEL DO IMÓVEL ONDE FUNCIONA A SEDE DAS PROMOTORIAS DE JUSTIÇA DA COMARCA DE EUSÉBIO, CONF. CONTRATO 027/2021, REF. ABR/2024, POR ESTIMATIVA.")</f>
        <v>ALUGUEL DO IMÓVEL ONDE FUNCIONA A SEDE DAS PROMOTORIAS DE JUSTIÇA DA COMARCA DE EUSÉBIO, CONF. CONTRATO 027/2021, REF. ABR/2024, POR ESTIMATIVA.</v>
      </c>
      <c r="F211" s="3" t="s">
        <v>127</v>
      </c>
      <c r="G211" s="6" t="str">
        <f>HYPERLINK("http://www8.mpce.mp.br/Empenhos/150501/NE/2024NE000271.pdf","2024NE000271")</f>
        <v>2024NE000271</v>
      </c>
      <c r="H211" s="7">
        <v>5546.1</v>
      </c>
      <c r="I211" s="8" t="s">
        <v>155</v>
      </c>
      <c r="J211" s="12" t="s">
        <v>156</v>
      </c>
    </row>
    <row r="212" spans="1:10" ht="51" x14ac:dyDescent="0.25">
      <c r="A212" s="2" t="s">
        <v>45</v>
      </c>
      <c r="B212" s="3" t="s">
        <v>357</v>
      </c>
      <c r="C212" s="4" t="str">
        <f>HYPERLINK("https://transparencia-area-fim.mpce.mp.br/#/consulta/processo/pastadigital/092021000079244","09.2021.00007924-4")</f>
        <v>09.2021.00007924-4</v>
      </c>
      <c r="D212" s="5">
        <v>45369</v>
      </c>
      <c r="E212" s="9" t="str">
        <f>HYPERLINK("https://www8.mpce.mp.br/Empenhos/150001/Objeto/27-2021.pdf","TAXAS CONDOMINIAIS DO IMÓVEL ONDE FUNCIONA A SEDE DAS PROMOTORIAS DE JUSTIÇA DA COMARCA DE EUSÉBIO, CONF. CONTRATO 027/2021, REF. ABR/2024, POR ESTIMATIVA.")</f>
        <v>TAXAS CONDOMINIAIS DO IMÓVEL ONDE FUNCIONA A SEDE DAS PROMOTORIAS DE JUSTIÇA DA COMARCA DE EUSÉBIO, CONF. CONTRATO 027/2021, REF. ABR/2024, POR ESTIMATIVA.</v>
      </c>
      <c r="F212" s="3" t="s">
        <v>242</v>
      </c>
      <c r="G212" s="6" t="str">
        <f>HYPERLINK("http://www8.mpce.mp.br/Empenhos/150501/NE/2024NE000272.pdf","2024NE000272")</f>
        <v>2024NE000272</v>
      </c>
      <c r="H212" s="7">
        <v>1487.88</v>
      </c>
      <c r="I212" s="8" t="s">
        <v>155</v>
      </c>
      <c r="J212" s="12" t="s">
        <v>156</v>
      </c>
    </row>
    <row r="213" spans="1:10" ht="51" x14ac:dyDescent="0.25">
      <c r="A213" s="2" t="s">
        <v>45</v>
      </c>
      <c r="B213" s="3" t="s">
        <v>383</v>
      </c>
      <c r="C213" s="4" t="str">
        <f>HYPERLINK("http://www8.mpce.mp.br/Dispensa/6795020160.pdf","6795020160")</f>
        <v>6795020160</v>
      </c>
      <c r="D213" s="5">
        <v>45369</v>
      </c>
      <c r="E213" s="9" t="str">
        <f>HYPERLINK("https://www8.mpce.mp.br/Empenhos/150001/Objeto/08-2017.pdf"," EMPENHO DO ALUGUEL DO MÊS DE ABRIL DE 2024, REF. AO IMÓVEL ONDE FUNCIONAM AS PROMOTORIAS DE JUSTIÇA DA COMARCA DE JARDIM, RELATIVO AO CONTRATO Nº008/2017/PGJ.")</f>
        <v xml:space="preserve"> EMPENHO DO ALUGUEL DO MÊS DE ABRIL DE 2024, REF. AO IMÓVEL ONDE FUNCIONAM AS PROMOTORIAS DE JUSTIÇA DA COMARCA DE JARDIM, RELATIVO AO CONTRATO Nº008/2017/PGJ.</v>
      </c>
      <c r="F213" s="3" t="s">
        <v>172</v>
      </c>
      <c r="G213" s="6" t="str">
        <f>HYPERLINK("http://www8.mpce.mp.br/Empenhos/150501/NE/2024NE000273.pdf","2024NE000273")</f>
        <v>2024NE000273</v>
      </c>
      <c r="H213" s="7">
        <v>680.03</v>
      </c>
      <c r="I213" s="8" t="s">
        <v>230</v>
      </c>
      <c r="J213" s="12" t="s">
        <v>231</v>
      </c>
    </row>
    <row r="214" spans="1:10" ht="51" x14ac:dyDescent="0.25">
      <c r="A214" s="2" t="s">
        <v>45</v>
      </c>
      <c r="B214" s="3" t="s">
        <v>357</v>
      </c>
      <c r="C214" s="4" t="str">
        <f>HYPERLINK("https://transparencia-area-fim.mpce.mp.br/#/consulta/processo/pastadigital/092021000219739","09.2021.00021973-9")</f>
        <v>09.2021.00021973-9</v>
      </c>
      <c r="D214" s="5">
        <v>45369</v>
      </c>
      <c r="E214" s="9" t="str">
        <f>HYPERLINK("https://www8.mpce.mp.br/Empenhos/150001/Objeto/45-2021.pdf","ALUGUEL DO IMÓVEL ONDE FUNCIONA A SEDE DAS PROMOTORIAS DE JUSTIÇA DA COMARCA DE EUSÉBIO, CONF. CONTRATO 045/2021, REF. ABR/2024, POR ESTIMATIVA.")</f>
        <v>ALUGUEL DO IMÓVEL ONDE FUNCIONA A SEDE DAS PROMOTORIAS DE JUSTIÇA DA COMARCA DE EUSÉBIO, CONF. CONTRATO 045/2021, REF. ABR/2024, POR ESTIMATIVA.</v>
      </c>
      <c r="F214" s="3" t="s">
        <v>127</v>
      </c>
      <c r="G214" s="6" t="str">
        <f>HYPERLINK("http://www8.mpce.mp.br/Empenhos/150501/NE/2024NE000274.pdf","2024NE000274")</f>
        <v>2024NE000274</v>
      </c>
      <c r="H214" s="7">
        <v>1640.35</v>
      </c>
      <c r="I214" s="8" t="s">
        <v>155</v>
      </c>
      <c r="J214" s="12" t="s">
        <v>156</v>
      </c>
    </row>
    <row r="215" spans="1:10" ht="51" x14ac:dyDescent="0.25">
      <c r="A215" s="2" t="s">
        <v>45</v>
      </c>
      <c r="B215" s="3" t="s">
        <v>357</v>
      </c>
      <c r="C215" s="4" t="str">
        <f>HYPERLINK("https://transparencia-area-fim.mpce.mp.br/#/consulta/processo/pastadigital/092021000219739","09.2021.00021973-9")</f>
        <v>09.2021.00021973-9</v>
      </c>
      <c r="D215" s="5">
        <v>45369</v>
      </c>
      <c r="E215" s="9" t="str">
        <f>HYPERLINK("https://www8.mpce.mp.br/Empenhos/150001/Objeto/45-2021.pdf","TAXAS CONDOMINIAIS DO IMÓVEL ONDE FUNCIONA A SEDE DAS PROMOTORIAS DE JUSTIÇA DA COMARCA DE EUSÉBIO, CONF. CONTRATO 045/2021, REF. ABR/2024, POR ESTIMATIVA.")</f>
        <v>TAXAS CONDOMINIAIS DO IMÓVEL ONDE FUNCIONA A SEDE DAS PROMOTORIAS DE JUSTIÇA DA COMARCA DE EUSÉBIO, CONF. CONTRATO 045/2021, REF. ABR/2024, POR ESTIMATIVA.</v>
      </c>
      <c r="F215" s="3" t="s">
        <v>242</v>
      </c>
      <c r="G215" s="6" t="str">
        <f>HYPERLINK("http://www8.mpce.mp.br/Empenhos/150501/NE/2024NE000275.pdf","2024NE000275")</f>
        <v>2024NE000275</v>
      </c>
      <c r="H215" s="7">
        <v>462.49</v>
      </c>
      <c r="I215" s="8" t="s">
        <v>155</v>
      </c>
      <c r="J215" s="12" t="s">
        <v>156</v>
      </c>
    </row>
    <row r="216" spans="1:10" ht="51" x14ac:dyDescent="0.25">
      <c r="A216" s="2" t="s">
        <v>45</v>
      </c>
      <c r="B216" s="3" t="s">
        <v>384</v>
      </c>
      <c r="C216" s="4" t="str">
        <f>HYPERLINK("http://www8.mpce.mp.br/Dispensa/3642820165.pdf","36428/2016-5")</f>
        <v>36428/2016-5</v>
      </c>
      <c r="D216" s="5">
        <v>45369</v>
      </c>
      <c r="E216" s="9" t="str">
        <f>HYPERLINK("https://www8.mpce.mp.br/Empenhos/150001/Objeto/26-2017.pdf","EMPENHO DO ALUGUEL DO MÊS DE ABRIL DE 2024, REF. AO IMÓVEL ONDE FUNCIONAM AS PROMOTORIAS DE JUSTIÇA DA COMARCA DE MARANGUAPE, RELATIVO AO CONTRATO Nº 026/2017/PGJ.")</f>
        <v>EMPENHO DO ALUGUEL DO MÊS DE ABRIL DE 2024, REF. AO IMÓVEL ONDE FUNCIONAM AS PROMOTORIAS DE JUSTIÇA DA COMARCA DE MARANGUAPE, RELATIVO AO CONTRATO Nº 026/2017/PGJ.</v>
      </c>
      <c r="F216" s="3" t="s">
        <v>172</v>
      </c>
      <c r="G216" s="6" t="str">
        <f>HYPERLINK("http://www8.mpce.mp.br/Empenhos/150501/NE/2024NE000276.pdf","2024NE000276")</f>
        <v>2024NE000276</v>
      </c>
      <c r="H216" s="7">
        <v>5518.15</v>
      </c>
      <c r="I216" s="8" t="s">
        <v>216</v>
      </c>
      <c r="J216" s="12" t="s">
        <v>217</v>
      </c>
    </row>
    <row r="217" spans="1:10" ht="51" x14ac:dyDescent="0.25">
      <c r="A217" s="2" t="s">
        <v>20</v>
      </c>
      <c r="B217" s="3" t="s">
        <v>385</v>
      </c>
      <c r="C217" s="4" t="str">
        <f>HYPERLINK("https://transparencia-area-fim.mpce.mp.br/#/consulta/processo/pastadigital/092023000214163","09.2023.00021416-3")</f>
        <v>09.2023.00021416-3</v>
      </c>
      <c r="D217" s="5">
        <v>45369</v>
      </c>
      <c r="E217" s="9" t="str">
        <f>HYPERLINK("https://www8.mpce.mp.br/Empenhos/150001/Objeto/56-2023.pdf","ALUGUEL DO IMÓVEL ONDE FUNCIONA A SEDE DAS PROMOTORIAS DE JUSTIÇA DA COMARCA DE BATURITÉ, CONF. CONTRATO 056/2023, REF. ABR/2024, POR ESTIMATIVA.")</f>
        <v>ALUGUEL DO IMÓVEL ONDE FUNCIONA A SEDE DAS PROMOTORIAS DE JUSTIÇA DA COMARCA DE BATURITÉ, CONF. CONTRATO 056/2023, REF. ABR/2024, POR ESTIMATIVA.</v>
      </c>
      <c r="F217" s="3" t="s">
        <v>127</v>
      </c>
      <c r="G217" s="6" t="str">
        <f>HYPERLINK("http://www8.mpce.mp.br/Empenhos/150501/NE/2024NE000277.pdf","2024NE000277")</f>
        <v>2024NE000277</v>
      </c>
      <c r="H217" s="7">
        <v>5400</v>
      </c>
      <c r="I217" s="8" t="s">
        <v>167</v>
      </c>
      <c r="J217" s="12" t="s">
        <v>168</v>
      </c>
    </row>
    <row r="218" spans="1:10" ht="51" x14ac:dyDescent="0.25">
      <c r="A218" s="2" t="s">
        <v>45</v>
      </c>
      <c r="B218" s="3" t="s">
        <v>386</v>
      </c>
      <c r="C218" s="4" t="str">
        <f>HYPERLINK("http://www8.mpce.mp.br/Dispensa/2150720189.pdf","21507/2018-9")</f>
        <v>21507/2018-9</v>
      </c>
      <c r="D218" s="5">
        <v>45365</v>
      </c>
      <c r="E218" s="9" t="str">
        <f>HYPERLINK("https://www8.mpce.mp.br/Empenhos/150001/Objeto/51-2019.pdf","EMPENHO DO ALUGUEL DO MÊS DE ABRIL DE 2024, REF. AO IMÓVEL ONDE FUNCIONAM AS PROMOTORIAS DE JUSTIÇA DA COMARCA DE VIÇOSA DO CEARÁ, CONF. CONTRATO Nº 051/2019/PGJ.")</f>
        <v>EMPENHO DO ALUGUEL DO MÊS DE ABRIL DE 2024, REF. AO IMÓVEL ONDE FUNCIONAM AS PROMOTORIAS DE JUSTIÇA DA COMARCA DE VIÇOSA DO CEARÁ, CONF. CONTRATO Nº 051/2019/PGJ.</v>
      </c>
      <c r="F218" s="3" t="s">
        <v>172</v>
      </c>
      <c r="G218" s="6" t="str">
        <f>HYPERLINK("http://www8.mpce.mp.br/Empenhos/150501/NE/2024NE000278.pdf","2024NE000278")</f>
        <v>2024NE000278</v>
      </c>
      <c r="H218" s="7">
        <v>2935.71</v>
      </c>
      <c r="I218" s="8" t="s">
        <v>190</v>
      </c>
      <c r="J218" s="12" t="s">
        <v>191</v>
      </c>
    </row>
    <row r="219" spans="1:10" ht="51" x14ac:dyDescent="0.25">
      <c r="A219" s="2" t="s">
        <v>45</v>
      </c>
      <c r="B219" s="3" t="s">
        <v>357</v>
      </c>
      <c r="C219" s="4" t="str">
        <f>HYPERLINK("https://transparencia-area-fim.mpce.mp.br/#/consulta/processo/pastadigital/092022000091296","09.2022.00009129-6")</f>
        <v>09.2022.00009129-6</v>
      </c>
      <c r="D219" s="5">
        <v>45369</v>
      </c>
      <c r="E219" s="9" t="str">
        <f>HYPERLINK("https://www8.mpce.mp.br/Empenhos/150001/Objeto/33-2022.pdf","ALUGUEL DO IMÓVEL ONDE FUNCIONA A SEDE DAS PROMOTORIAS DE JUSTIÇA DA COMARCA DE VÁRZEA ALEGRE, CONF. CONTRATO 033/2022, REF. ABR/2024, POR ESTIMATIVA.")</f>
        <v>ALUGUEL DO IMÓVEL ONDE FUNCIONA A SEDE DAS PROMOTORIAS DE JUSTIÇA DA COMARCA DE VÁRZEA ALEGRE, CONF. CONTRATO 033/2022, REF. ABR/2024, POR ESTIMATIVA.</v>
      </c>
      <c r="F219" s="3" t="s">
        <v>172</v>
      </c>
      <c r="G219" s="6" t="str">
        <f>HYPERLINK("http://www8.mpce.mp.br/Empenhos/150501/NE/2024NE000280.pdf","2024NE000280")</f>
        <v>2024NE000280</v>
      </c>
      <c r="H219" s="7">
        <v>800</v>
      </c>
      <c r="I219" s="8" t="s">
        <v>208</v>
      </c>
      <c r="J219" s="12" t="s">
        <v>209</v>
      </c>
    </row>
    <row r="220" spans="1:10" ht="51" x14ac:dyDescent="0.25">
      <c r="A220" s="2" t="s">
        <v>20</v>
      </c>
      <c r="B220" s="3" t="s">
        <v>387</v>
      </c>
      <c r="C220" s="4" t="str">
        <f>HYPERLINK("https://transparencia-area-fim.mpce.mp.br/#/consulta/processo/pastadigital/092022000371847","09.2022.00037184-7")</f>
        <v>09.2022.00037184-7</v>
      </c>
      <c r="D220" s="5">
        <v>45369</v>
      </c>
      <c r="E220" s="9" t="str">
        <f>HYPERLINK("https://www8.mpce.mp.br/Empenhos/150001/Objeto/44-2023.pdf","ALUGUEL DO IMÓVEL ONDE FUNCIONA A SEDE DAS PROMOTORIAS DE JUSTIÇA DA COMARCA DE MARCO-CE, CONF. CONTRATO 044/2023, REF. ABR/2024, POR ESTIMATIVA.")</f>
        <v>ALUGUEL DO IMÓVEL ONDE FUNCIONA A SEDE DAS PROMOTORIAS DE JUSTIÇA DA COMARCA DE MARCO-CE, CONF. CONTRATO 044/2023, REF. ABR/2024, POR ESTIMATIVA.</v>
      </c>
      <c r="F220" s="3" t="s">
        <v>172</v>
      </c>
      <c r="G220" s="6" t="str">
        <f>HYPERLINK("http://www8.mpce.mp.br/Empenhos/150501/NE/2024NE000281.pdf","2024NE000281")</f>
        <v>2024NE000281</v>
      </c>
      <c r="H220" s="7">
        <v>1200</v>
      </c>
      <c r="I220" s="8" t="s">
        <v>193</v>
      </c>
      <c r="J220" s="12" t="s">
        <v>194</v>
      </c>
    </row>
    <row r="221" spans="1:10" ht="51" x14ac:dyDescent="0.25">
      <c r="A221" s="2" t="s">
        <v>45</v>
      </c>
      <c r="B221" s="3" t="s">
        <v>388</v>
      </c>
      <c r="C221" s="4" t="str">
        <f>HYPERLINK("https://transparencia-area-fim.mpce.mp.br/#/consulta/processo/pastadigital/092021000166790","09.2021.00016679-0")</f>
        <v>09.2021.00016679-0</v>
      </c>
      <c r="D221" s="5">
        <v>45369</v>
      </c>
      <c r="E221" s="9" t="str">
        <f>HYPERLINK("https://www8.mpce.mp.br/Empenhos/150001/Objeto/24-2022.pdf","ALUGUEL DO IMÓVEL ONDE FUNCIONA A SEDE DAS PROMOTORIAS DE JUSTIÇA DA COMARCA DE HORIZONTE, CONF. CONTRATO 024/2022, REF. ABR/2024, POR ESTIMATIVA.")</f>
        <v>ALUGUEL DO IMÓVEL ONDE FUNCIONA A SEDE DAS PROMOTORIAS DE JUSTIÇA DA COMARCA DE HORIZONTE, CONF. CONTRATO 024/2022, REF. ABR/2024, POR ESTIMATIVA.</v>
      </c>
      <c r="F221" s="3" t="s">
        <v>172</v>
      </c>
      <c r="G221" s="6" t="str">
        <f>HYPERLINK("http://www8.mpce.mp.br/Empenhos/150501/NE/2024NE000283.pdf","2024NE000283")</f>
        <v>2024NE000283</v>
      </c>
      <c r="H221" s="7">
        <v>2400</v>
      </c>
      <c r="I221" s="8" t="s">
        <v>220</v>
      </c>
      <c r="J221" s="12" t="s">
        <v>221</v>
      </c>
    </row>
    <row r="222" spans="1:10" ht="51" x14ac:dyDescent="0.25">
      <c r="A222" s="2" t="s">
        <v>45</v>
      </c>
      <c r="B222" s="3" t="s">
        <v>389</v>
      </c>
      <c r="C222" s="4" t="str">
        <f>HYPERLINK("http://www8.mpce.mp.br/Dispensa/2330020195.pdf","23300/2019-5")</f>
        <v>23300/2019-5</v>
      </c>
      <c r="D222" s="5">
        <v>45369</v>
      </c>
      <c r="E222" s="9" t="str">
        <f>HYPERLINK("https://www8.mpce.mp.br/Empenhos/150001/Objeto/61-2019.pdf","EMPENHO DO ALUGUEL DO MÊS DE ABRIL DE 2024, REF. AO IMÓVEL ONDE FUNCIONAM AS PROMOTORIAS DE JUSTIÇA DA COMARCA DE ACARAÚ EM CONSONÂNCIA AO CONTRATO 061/2019/PGJ.")</f>
        <v>EMPENHO DO ALUGUEL DO MÊS DE ABRIL DE 2024, REF. AO IMÓVEL ONDE FUNCIONAM AS PROMOTORIAS DE JUSTIÇA DA COMARCA DE ACARAÚ EM CONSONÂNCIA AO CONTRATO 061/2019/PGJ.</v>
      </c>
      <c r="F222" s="3" t="s">
        <v>172</v>
      </c>
      <c r="G222" s="6" t="str">
        <f>HYPERLINK("http://www8.mpce.mp.br/Empenhos/150501/NE/2024NE000284.pdf","2024NE000284")</f>
        <v>2024NE000284</v>
      </c>
      <c r="H222" s="7">
        <v>1400</v>
      </c>
      <c r="I222" s="8" t="s">
        <v>184</v>
      </c>
      <c r="J222" s="12" t="s">
        <v>185</v>
      </c>
    </row>
    <row r="223" spans="1:10" ht="51" x14ac:dyDescent="0.25">
      <c r="A223" s="2" t="s">
        <v>45</v>
      </c>
      <c r="B223" s="3" t="s">
        <v>390</v>
      </c>
      <c r="C223" s="4" t="str">
        <f>HYPERLINK("https://transparencia-area-fim.mpce.mp.br/#/consulta/processo/pastadigital/092021000047808","09.2021.00004780-8")</f>
        <v>09.2021.00004780-8</v>
      </c>
      <c r="D223" s="5">
        <v>45369</v>
      </c>
      <c r="E223" s="9" t="str">
        <f>HYPERLINK("https://www8.mpce.mp.br/Empenhos/150001/Objeto/25-2021.pdf","EMPENHO DO ALUGUEL DO MÊS DE ABRIL DE 2024, REF. AO IMÓVEL ONDE FUNCIONAM AS PROMOTORIAS DE JUSTIÇA DA COMARCA DE ALTO SANTO, EM CONSONÂNCIA AO CONTRATO 025/2021/PGJ.")</f>
        <v>EMPENHO DO ALUGUEL DO MÊS DE ABRIL DE 2024, REF. AO IMÓVEL ONDE FUNCIONAM AS PROMOTORIAS DE JUSTIÇA DA COMARCA DE ALTO SANTO, EM CONSONÂNCIA AO CONTRATO 025/2021/PGJ.</v>
      </c>
      <c r="F223" s="3" t="s">
        <v>172</v>
      </c>
      <c r="G223" s="6" t="str">
        <f>HYPERLINK("http://www8.mpce.mp.br/Empenhos/150501/NE/2024NE000285.pdf","2024NE000285")</f>
        <v>2024NE000285</v>
      </c>
      <c r="H223" s="7">
        <v>1651.15</v>
      </c>
      <c r="I223" s="8" t="s">
        <v>218</v>
      </c>
      <c r="J223" s="12" t="s">
        <v>219</v>
      </c>
    </row>
    <row r="224" spans="1:10" ht="51" x14ac:dyDescent="0.25">
      <c r="A224" s="2" t="s">
        <v>45</v>
      </c>
      <c r="B224" s="3" t="s">
        <v>391</v>
      </c>
      <c r="C224" s="4" t="str">
        <f>HYPERLINK("https://transparencia-area-fim.mpce.mp.br/#/consulta/processo/pastadigital/092021000121226","09.2021.00012122-6")</f>
        <v>09.2021.00012122-6</v>
      </c>
      <c r="D224" s="5">
        <v>45369</v>
      </c>
      <c r="E224" s="9" t="str">
        <f>HYPERLINK("https://www8.mpce.mp.br/Empenhos/150001/Objeto/34-2021.pdf","EMPENHO DO ALUGUEL DO MÊS DE ABRIL DE 2024, REF. AO IMÓVEL ONDE FUNCIONAM AS PROMOTORIAS DE JUSTIÇA DA COMARCA DE SÃO BENEDITO, EM ALUSÃO AO CONTRATO Nº 034/2021/PGJ.")</f>
        <v>EMPENHO DO ALUGUEL DO MÊS DE ABRIL DE 2024, REF. AO IMÓVEL ONDE FUNCIONAM AS PROMOTORIAS DE JUSTIÇA DA COMARCA DE SÃO BENEDITO, EM ALUSÃO AO CONTRATO Nº 034/2021/PGJ.</v>
      </c>
      <c r="F224" s="3" t="s">
        <v>172</v>
      </c>
      <c r="G224" s="6" t="str">
        <f>HYPERLINK("http://www8.mpce.mp.br/Empenhos/150501/NE/2024NE000286.pdf","2024NE000286")</f>
        <v>2024NE000286</v>
      </c>
      <c r="H224" s="7">
        <v>2823.27</v>
      </c>
      <c r="I224" s="8" t="s">
        <v>204</v>
      </c>
      <c r="J224" s="12" t="s">
        <v>205</v>
      </c>
    </row>
    <row r="225" spans="1:10" ht="51" x14ac:dyDescent="0.25">
      <c r="A225" s="2" t="s">
        <v>45</v>
      </c>
      <c r="B225" s="3" t="s">
        <v>392</v>
      </c>
      <c r="C225" s="4" t="str">
        <f>HYPERLINK("https://transparencia-area-fim.mpce.mp.br/#/consulta/processo/pastadigital/092022000264193","09.2022.00026419-3")</f>
        <v>09.2022.00026419-3</v>
      </c>
      <c r="D225" s="5">
        <v>45369</v>
      </c>
      <c r="E225" s="9" t="str">
        <f>HYPERLINK("https://www8.mpce.mp.br/Empenhos/150001/Objeto/28-2022.pdf","EMPENHO DO ALUGUEL DO MÊS DE ABRIL DE 2024, REF.AO IMÓVEL ONDE FUNCIONAM AS PROMOTORIAS DE JUSTIÇA DA COMARCA DE AURORA, EM CONFORMIDADE AO CONTRATO Nº 028/2022/PGJ.")</f>
        <v>EMPENHO DO ALUGUEL DO MÊS DE ABRIL DE 2024, REF.AO IMÓVEL ONDE FUNCIONAM AS PROMOTORIAS DE JUSTIÇA DA COMARCA DE AURORA, EM CONFORMIDADE AO CONTRATO Nº 028/2022/PGJ.</v>
      </c>
      <c r="F225" s="3" t="s">
        <v>172</v>
      </c>
      <c r="G225" s="6" t="str">
        <f>HYPERLINK("http://www8.mpce.mp.br/Empenhos/150501/NE/2024NE000287.pdf","2024NE000287")</f>
        <v>2024NE000287</v>
      </c>
      <c r="H225" s="7">
        <v>2000</v>
      </c>
      <c r="I225" s="8" t="s">
        <v>212</v>
      </c>
      <c r="J225" s="12" t="s">
        <v>213</v>
      </c>
    </row>
    <row r="226" spans="1:10" ht="51" x14ac:dyDescent="0.25">
      <c r="A226" s="2" t="s">
        <v>45</v>
      </c>
      <c r="B226" s="3" t="s">
        <v>393</v>
      </c>
      <c r="C226" s="4" t="str">
        <f>HYPERLINK("https://transparencia-area-fim.mpce.mp.br/#/consulta/processo/pastadigital/092022000276145","09.2022.00027614-5")</f>
        <v>09.2022.00027614-5</v>
      </c>
      <c r="D226" s="5">
        <v>45369</v>
      </c>
      <c r="E226" s="9" t="str">
        <f>HYPERLINK("https://www8.mpce.mp.br/Empenhos/150001/Objeto/36-2022.pdf","EMPENHO DO ALUGUEL DO MÊS DE ABRIL DE 2024, REF. AO IMÓVEL ONDE FUNCIONAM AS PROMOTORIAS DE JUSTIÇA DA COMARCA DE ARARIPE, EM CONFORMIDADE AO CONTRATO Nº 036/2022/PGJ.")</f>
        <v>EMPENHO DO ALUGUEL DO MÊS DE ABRIL DE 2024, REF. AO IMÓVEL ONDE FUNCIONAM AS PROMOTORIAS DE JUSTIÇA DA COMARCA DE ARARIPE, EM CONFORMIDADE AO CONTRATO Nº 036/2022/PGJ.</v>
      </c>
      <c r="F226" s="3" t="s">
        <v>172</v>
      </c>
      <c r="G226" s="6" t="str">
        <f>HYPERLINK("http://www8.mpce.mp.br/Empenhos/150501/NE/2024NE000288.pdf","2024NE000288")</f>
        <v>2024NE000288</v>
      </c>
      <c r="H226" s="7">
        <v>1500</v>
      </c>
      <c r="I226" s="8" t="s">
        <v>202</v>
      </c>
      <c r="J226" s="12" t="s">
        <v>203</v>
      </c>
    </row>
    <row r="227" spans="1:10" ht="51" x14ac:dyDescent="0.25">
      <c r="A227" s="2" t="s">
        <v>45</v>
      </c>
      <c r="B227" s="3" t="s">
        <v>394</v>
      </c>
      <c r="C227" s="4" t="str">
        <f>HYPERLINK("https://transparencia-area-fim.mpce.mp.br/#/consulta/processo/pastadigital/092022000110511","09.2022.00011051-1")</f>
        <v>09.2022.00011051-1</v>
      </c>
      <c r="D227" s="5">
        <v>45369</v>
      </c>
      <c r="E227" s="9" t="str">
        <f>HYPERLINK("https://www8.mpce.mp.br/Empenhos/150001/Objeto/38-2022.pdf","EMPENHO DO ALUGUEL DO MÊS DE ABRIL DE 2024, REF. AO IMÓVEL ONDE FUNCIONAM AS PROMOTORIAS DE JUSTIÇA DA COMARCA DE NOVA OLINDA, EM ALUSÃO AO CONTRATO Nº 038/2022/PGJ.")</f>
        <v>EMPENHO DO ALUGUEL DO MÊS DE ABRIL DE 2024, REF. AO IMÓVEL ONDE FUNCIONAM AS PROMOTORIAS DE JUSTIÇA DA COMARCA DE NOVA OLINDA, EM ALUSÃO AO CONTRATO Nº 038/2022/PGJ.</v>
      </c>
      <c r="F227" s="3" t="s">
        <v>172</v>
      </c>
      <c r="G227" s="6" t="str">
        <f>HYPERLINK("http://www8.mpce.mp.br/Empenhos/150501/NE/2024NE000289.pdf","2024NE000289")</f>
        <v>2024NE000289</v>
      </c>
      <c r="H227" s="7">
        <v>2000</v>
      </c>
      <c r="I227" s="8" t="s">
        <v>240</v>
      </c>
      <c r="J227" s="12" t="s">
        <v>241</v>
      </c>
    </row>
    <row r="228" spans="1:10" ht="51" x14ac:dyDescent="0.25">
      <c r="A228" s="2" t="s">
        <v>20</v>
      </c>
      <c r="B228" s="3" t="s">
        <v>395</v>
      </c>
      <c r="C228" s="4" t="str">
        <f>HYPERLINK("https://transparencia-area-fim.mpce.mp.br/#/consulta/processo/pastadigital/092022000426227","09.2022.00042622-7")</f>
        <v>09.2022.00042622-7</v>
      </c>
      <c r="D228" s="5">
        <v>45369</v>
      </c>
      <c r="E228" s="9" t="str">
        <f>HYPERLINK("https://www8.mpce.mp.br/Empenhos/150001/Objeto/33-2023.pdf","EMPENHO DO ALUGUEL DO MÊS DE ABRIL DE 2024, REF. AO IMÓVEL ONDE FUNCIONAM AS PROMOTORIAS DE JUSTIÇA DA COMARCA DE JUCÁS RELATIVO AO CONTRATO 033/2023/PGJ.")</f>
        <v>EMPENHO DO ALUGUEL DO MÊS DE ABRIL DE 2024, REF. AO IMÓVEL ONDE FUNCIONAM AS PROMOTORIAS DE JUSTIÇA DA COMARCA DE JUCÁS RELATIVO AO CONTRATO 033/2023/PGJ.</v>
      </c>
      <c r="F228" s="3" t="s">
        <v>172</v>
      </c>
      <c r="G228" s="6" t="str">
        <f>HYPERLINK("http://www8.mpce.mp.br/Empenhos/150501/NE/2024NE000290.pdf","2024NE000290")</f>
        <v>2024NE000290</v>
      </c>
      <c r="H228" s="7">
        <v>2500</v>
      </c>
      <c r="I228" s="8" t="s">
        <v>206</v>
      </c>
      <c r="J228" s="12" t="s">
        <v>207</v>
      </c>
    </row>
    <row r="229" spans="1:10" ht="51" x14ac:dyDescent="0.25">
      <c r="A229" s="2" t="s">
        <v>20</v>
      </c>
      <c r="B229" s="3" t="s">
        <v>320</v>
      </c>
      <c r="C229" s="4" t="str">
        <f>HYPERLINK("https://transparencia-area-fim.mpce.mp.br/#/consulta/processo/pastadigital/092022000083885","09.2022.00008388-5")</f>
        <v>09.2022.00008388-5</v>
      </c>
      <c r="D229" s="5">
        <v>45369</v>
      </c>
      <c r="E229" s="9" t="str">
        <f>HYPERLINK("https://www8.mpce.mp.br/Empenhos/150001/Objeto/36-2023.pdf","EMPENHO DO ALUGUEL DO MÊS DE ABRIL DE 2024, REF. AO IMÓVEL ONDE FUNCIONAM AS PROMOTORIAS DE JUSTIÇA DA COMARCA DE SOLONÓPOLE, RELATIVO AO CONTRATO Nº 036/2023/PGJ.")</f>
        <v>EMPENHO DO ALUGUEL DO MÊS DE ABRIL DE 2024, REF. AO IMÓVEL ONDE FUNCIONAM AS PROMOTORIAS DE JUSTIÇA DA COMARCA DE SOLONÓPOLE, RELATIVO AO CONTRATO Nº 036/2023/PGJ.</v>
      </c>
      <c r="F229" s="3" t="s">
        <v>172</v>
      </c>
      <c r="G229" s="6" t="str">
        <f>HYPERLINK("http://www8.mpce.mp.br/Empenhos/150501/NE/2024NE000291.pdf","2024NE000291")</f>
        <v>2024NE000291</v>
      </c>
      <c r="H229" s="7">
        <v>3897.24</v>
      </c>
      <c r="I229" s="8" t="s">
        <v>199</v>
      </c>
      <c r="J229" s="12" t="s">
        <v>200</v>
      </c>
    </row>
    <row r="230" spans="1:10" ht="51" x14ac:dyDescent="0.25">
      <c r="A230" s="2" t="s">
        <v>20</v>
      </c>
      <c r="B230" s="3" t="s">
        <v>396</v>
      </c>
      <c r="C230" s="4" t="str">
        <f>HYPERLINK("https://transparencia-area-fim.mpce.mp.br/#/consulta/processo/pastadigital/092022000409094","09.2022.00040909-4")</f>
        <v>09.2022.00040909-4</v>
      </c>
      <c r="D230" s="5">
        <v>45369</v>
      </c>
      <c r="E230" s="9" t="str">
        <f>HYPERLINK("https://www8.mpce.mp.br/Empenhos/150001/Objeto/41-2023.pdf","EMPENHO DO ALUGUEL DO MÊS DE ABRIL DE 2024, REF. AO IMÓVEL ONDE FUNCIONAM AS PROMOTORIAS DE JUSTIÇA DA COMARCA DE GUARACIABA DO NORTE, RELATIVO AO CONTRATO Nº 041/2023/PGJ.")</f>
        <v>EMPENHO DO ALUGUEL DO MÊS DE ABRIL DE 2024, REF. AO IMÓVEL ONDE FUNCIONAM AS PROMOTORIAS DE JUSTIÇA DA COMARCA DE GUARACIABA DO NORTE, RELATIVO AO CONTRATO Nº 041/2023/PGJ.</v>
      </c>
      <c r="F230" s="3" t="s">
        <v>172</v>
      </c>
      <c r="G230" s="6" t="str">
        <f>HYPERLINK("http://www8.mpce.mp.br/Empenhos/150501/NE/2024NE000292.pdf","2024NE000292")</f>
        <v>2024NE000292</v>
      </c>
      <c r="H230" s="7">
        <v>1550</v>
      </c>
      <c r="I230" s="8" t="s">
        <v>195</v>
      </c>
      <c r="J230" s="12" t="s">
        <v>196</v>
      </c>
    </row>
    <row r="231" spans="1:10" ht="51" x14ac:dyDescent="0.25">
      <c r="A231" s="2" t="s">
        <v>45</v>
      </c>
      <c r="B231" s="3" t="s">
        <v>357</v>
      </c>
      <c r="C231" s="4" t="str">
        <f>HYPERLINK("http://www8.mpce.mp.br/Dispensa/2004820193.pdf","20048/2019-3")</f>
        <v>20048/2019-3</v>
      </c>
      <c r="D231" s="5">
        <v>45369</v>
      </c>
      <c r="E231" s="9" t="str">
        <f>HYPERLINK("https://www8.mpce.mp.br/Empenhos/150001/Objeto/84-2019.pdf","ALUGUEL DO MÓVEL ONDE FUNCIONA A SEDE DAS PROMOTORIAS DE JUSTIÇA DA COMARCA DE MOMBAÇA-CE, CONF. CONTRATO 084/2019, REF. ABR/2024, POR ESTIMATIVA.")</f>
        <v>ALUGUEL DO MÓVEL ONDE FUNCIONA A SEDE DAS PROMOTORIAS DE JUSTIÇA DA COMARCA DE MOMBAÇA-CE, CONF. CONTRATO 084/2019, REF. ABR/2024, POR ESTIMATIVA.</v>
      </c>
      <c r="F231" s="3" t="s">
        <v>172</v>
      </c>
      <c r="G231" s="6" t="str">
        <f>HYPERLINK("http://www8.mpce.mp.br/Empenhos/150501/NE/2024NE000293.pdf","2024NE000293")</f>
        <v>2024NE000293</v>
      </c>
      <c r="H231" s="7">
        <v>4000</v>
      </c>
      <c r="I231" s="8" t="s">
        <v>173</v>
      </c>
      <c r="J231" s="12" t="s">
        <v>174</v>
      </c>
    </row>
    <row r="232" spans="1:10" ht="51" x14ac:dyDescent="0.25">
      <c r="A232" s="2" t="s">
        <v>45</v>
      </c>
      <c r="B232" s="3" t="s">
        <v>357</v>
      </c>
      <c r="C232" s="4" t="str">
        <f>HYPERLINK("http://www8.mpce.mp.br/Dispensa/1955220197.pdf","19552/2019-7")</f>
        <v>19552/2019-7</v>
      </c>
      <c r="D232" s="5">
        <v>45369</v>
      </c>
      <c r="E232" s="9" t="str">
        <f>HYPERLINK("https://www8.mpce.mp.br/Empenhos/150001/Objeto/85-2019.pdf","ALUGUEL DO IMÓVEL ONDE FUNCIONA A SEDE DAS PROMOTORIAS DE JUSTIÇA DA COMARCA DE PARAIPABA, CONF. CONTRATO 085/2019, REF. ABR/2024, POR ESTIMATIVA.")</f>
        <v>ALUGUEL DO IMÓVEL ONDE FUNCIONA A SEDE DAS PROMOTORIAS DE JUSTIÇA DA COMARCA DE PARAIPABA, CONF. CONTRATO 085/2019, REF. ABR/2024, POR ESTIMATIVA.</v>
      </c>
      <c r="F232" s="3" t="s">
        <v>172</v>
      </c>
      <c r="G232" s="6" t="str">
        <f>HYPERLINK("http://www8.mpce.mp.br/Empenhos/150501/NE/2024NE000294.pdf","2024NE000294")</f>
        <v>2024NE000294</v>
      </c>
      <c r="H232" s="7">
        <v>1306.7</v>
      </c>
      <c r="I232" s="8" t="s">
        <v>197</v>
      </c>
      <c r="J232" s="12" t="s">
        <v>198</v>
      </c>
    </row>
    <row r="233" spans="1:10" ht="51" x14ac:dyDescent="0.25">
      <c r="A233" s="2" t="s">
        <v>45</v>
      </c>
      <c r="B233" s="3" t="s">
        <v>357</v>
      </c>
      <c r="C233" s="4" t="str">
        <f>HYPERLINK("http://www8.mpce.mp.br/Dispensa/4503020176.pdf","45030/2017-6")</f>
        <v>45030/2017-6</v>
      </c>
      <c r="D233" s="5">
        <v>45369</v>
      </c>
      <c r="E233" s="9" t="str">
        <f>HYPERLINK("https://www8.mpce.mp.br/Empenhos/150001/Objeto/74-2019.pdf","ALUGUEL DO IMÓVEL ONDE FUNCIONA A SEDE DAS PROMOTORIAS DE JUSTIÇA DA COMARCA DE GRANJA, CONF. CONTRATO 074/2019, REF. ABR/2024, POR ESTIMATIVA.")</f>
        <v>ALUGUEL DO IMÓVEL ONDE FUNCIONA A SEDE DAS PROMOTORIAS DE JUSTIÇA DA COMARCA DE GRANJA, CONF. CONTRATO 074/2019, REF. ABR/2024, POR ESTIMATIVA.</v>
      </c>
      <c r="F233" s="3" t="s">
        <v>172</v>
      </c>
      <c r="G233" s="6" t="str">
        <f>HYPERLINK("http://www8.mpce.mp.br/Empenhos/150501/NE/2024NE000295.pdf","2024NE000295")</f>
        <v>2024NE000295</v>
      </c>
      <c r="H233" s="7">
        <v>2188.0100000000002</v>
      </c>
      <c r="I233" s="8" t="s">
        <v>247</v>
      </c>
      <c r="J233" s="12" t="s">
        <v>248</v>
      </c>
    </row>
    <row r="234" spans="1:10" ht="51" x14ac:dyDescent="0.25">
      <c r="A234" s="2" t="s">
        <v>45</v>
      </c>
      <c r="B234" s="3" t="s">
        <v>357</v>
      </c>
      <c r="C234" s="4" t="str">
        <f>HYPERLINK("http://www8.mpce.mp.br/Dispensa/2887720171.pdf","28877/2017-1")</f>
        <v>28877/2017-1</v>
      </c>
      <c r="D234" s="5">
        <v>45369</v>
      </c>
      <c r="E234" s="9" t="str">
        <f>HYPERLINK("https://www8.mpce.mp.br/Empenhos/150001/Objeto/24-2019.pdf","ALUGUEL DO IMÓVEL ONDE FUNCIONA A SEDE DAS PROMOTORIAS DE JUSTIÇA DA COMARCA DE JAGUARIBE, CONF. CONTRATO 024/2019, REF. MAR/2024, POR ESTIMATIVA.")</f>
        <v>ALUGUEL DO IMÓVEL ONDE FUNCIONA A SEDE DAS PROMOTORIAS DE JUSTIÇA DA COMARCA DE JAGUARIBE, CONF. CONTRATO 024/2019, REF. MAR/2024, POR ESTIMATIVA.</v>
      </c>
      <c r="F234" s="3" t="s">
        <v>127</v>
      </c>
      <c r="G234" s="6" t="str">
        <f>HYPERLINK("http://www8.mpce.mp.br/Empenhos/150501/NE/2024NE000296.pdf","2024NE000296")</f>
        <v>2024NE000296</v>
      </c>
      <c r="H234" s="7">
        <v>1431.35</v>
      </c>
      <c r="I234" s="8" t="s">
        <v>151</v>
      </c>
      <c r="J234" s="12" t="s">
        <v>152</v>
      </c>
    </row>
    <row r="235" spans="1:10" ht="51" x14ac:dyDescent="0.25">
      <c r="A235" s="2" t="s">
        <v>45</v>
      </c>
      <c r="B235" s="3" t="s">
        <v>357</v>
      </c>
      <c r="C235" s="4" t="str">
        <f>HYPERLINK("http://www8.mpce.mp.br/Dispensa/2887720171.pdf","28877/2017-1")</f>
        <v>28877/2017-1</v>
      </c>
      <c r="D235" s="5">
        <v>45369</v>
      </c>
      <c r="E235" s="9" t="str">
        <f>HYPERLINK("https://www8.mpce.mp.br/Empenhos/150001/Objeto/24-2019.pdf","ALUGUEL DO IMÓVEL ONDE FUNCIONA A SEDE DAS PROMOTORIAS DE JUSTIÇA DA COMARCA DE JAGUARIBE, CONF. CONTRATO 024/2019, REF. ABR/2024, POR ESTIMATIVA.")</f>
        <v>ALUGUEL DO IMÓVEL ONDE FUNCIONA A SEDE DAS PROMOTORIAS DE JUSTIÇA DA COMARCA DE JAGUARIBE, CONF. CONTRATO 024/2019, REF. ABR/2024, POR ESTIMATIVA.</v>
      </c>
      <c r="F235" s="3" t="s">
        <v>127</v>
      </c>
      <c r="G235" s="6" t="str">
        <f>HYPERLINK("http://www8.mpce.mp.br/Empenhos/150501/NE/2024NE000297.pdf","2024NE000297")</f>
        <v>2024NE000297</v>
      </c>
      <c r="H235" s="7">
        <v>1431.35</v>
      </c>
      <c r="I235" s="8" t="s">
        <v>151</v>
      </c>
      <c r="J235" s="12" t="s">
        <v>152</v>
      </c>
    </row>
    <row r="236" spans="1:10" ht="51" x14ac:dyDescent="0.25">
      <c r="A236" s="2" t="s">
        <v>20</v>
      </c>
      <c r="B236" s="3" t="s">
        <v>397</v>
      </c>
      <c r="C236" s="4" t="str">
        <f>HYPERLINK("https://transparencia-area-fim.mpce.mp.br/#/consulta/processo/pastadigital/092024000011043","09.2024.00001104-3")</f>
        <v>09.2024.00001104-3</v>
      </c>
      <c r="D236" s="5">
        <v>45351</v>
      </c>
      <c r="E236" s="9" t="s">
        <v>398</v>
      </c>
      <c r="F236" s="3" t="s">
        <v>399</v>
      </c>
      <c r="G236" s="6" t="str">
        <f>HYPERLINK("http://www8.mpce.mp.br/Empenhos/150001/NE/2024NE000297.pdf","2024NE000297")</f>
        <v>2024NE000297</v>
      </c>
      <c r="H236" s="7">
        <v>24000</v>
      </c>
      <c r="I236" s="8" t="s">
        <v>400</v>
      </c>
      <c r="J236" s="12" t="s">
        <v>401</v>
      </c>
    </row>
    <row r="237" spans="1:10" ht="63.75" x14ac:dyDescent="0.25">
      <c r="A237" s="2" t="s">
        <v>20</v>
      </c>
      <c r="B237" s="3" t="s">
        <v>402</v>
      </c>
      <c r="C237" s="4" t="str">
        <f>HYPERLINK("https://transparencia-area-fim.mpce.mp.br/#/consulta/processo/pastadigital/092023000396910","09.2023.00039691-0")</f>
        <v>09.2023.00039691-0</v>
      </c>
      <c r="D237" s="5">
        <v>45369</v>
      </c>
      <c r="E237" s="9" t="str">
        <f>HYPERLINK("https://www8.mpce.mp.br/Empenhos/150001/Objeto/19-2024.pdf","FORNECIMENTO DE 700 (SETECENTAS) LICENÇAS DE ACESSO À PLATAFORMA ON-LINE DE CURSOS DE APERFEIÇOAMENTO/TREINAMENTO ESPECIALIZADO, CONF. PROC. DE INEXIGIBILIDADE 09.2023.00039691-0 E PROJETO 067/2023, REF. 2024.")</f>
        <v>FORNECIMENTO DE 700 (SETECENTAS) LICENÇAS DE ACESSO À PLATAFORMA ON-LINE DE CURSOS DE APERFEIÇOAMENTO/TREINAMENTO ESPECIALIZADO, CONF. PROC. DE INEXIGIBILIDADE 09.2023.00039691-0 E PROJETO 067/2023, REF. 2024.</v>
      </c>
      <c r="F237" s="3" t="s">
        <v>120</v>
      </c>
      <c r="G237" s="6" t="str">
        <f>HYPERLINK("http://www8.mpce.mp.br/Empenhos/150501/NE/2024NE000301.pdf","2024NE000301")</f>
        <v>2024NE000301</v>
      </c>
      <c r="H237" s="7">
        <v>682500</v>
      </c>
      <c r="I237" s="8" t="s">
        <v>403</v>
      </c>
      <c r="J237" s="12" t="s">
        <v>404</v>
      </c>
    </row>
    <row r="238" spans="1:10" ht="51" x14ac:dyDescent="0.25">
      <c r="A238" s="2" t="s">
        <v>45</v>
      </c>
      <c r="B238" s="3" t="s">
        <v>357</v>
      </c>
      <c r="C238" s="4" t="str">
        <f>HYPERLINK("https://transparencia-area-fim.mpce.mp.br/#/consulta/processo/pastadigital/092021000155016","09.2021.00015501-6")</f>
        <v>09.2021.00015501-6</v>
      </c>
      <c r="D238" s="5">
        <v>45369</v>
      </c>
      <c r="E238" s="9" t="str">
        <f>HYPERLINK("https://www8.mpce.mp.br/Empenhos/150001/Objeto/26-2021.pdf","ALUGUEL DO IMÓVEL ONDE FUNCIONA A SEDE DAS PROMOTORIAS DE JUSTIÇA DA COMARCA DE BREJO SANTO, CONF. CONTRATO 026/2021, REF. ABR/2024, POR ESTIMATIVA.")</f>
        <v>ALUGUEL DO IMÓVEL ONDE FUNCIONA A SEDE DAS PROMOTORIAS DE JUSTIÇA DA COMARCA DE BREJO SANTO, CONF. CONTRATO 026/2021, REF. ABR/2024, POR ESTIMATIVA.</v>
      </c>
      <c r="F238" s="3" t="s">
        <v>172</v>
      </c>
      <c r="G238" s="6" t="str">
        <f>HYPERLINK("http://www8.mpce.mp.br/Empenhos/150501/NE/2024NE000303.pdf","2024NE000303")</f>
        <v>2024NE000303</v>
      </c>
      <c r="H238" s="7">
        <v>2601.5500000000002</v>
      </c>
      <c r="I238" s="8" t="s">
        <v>214</v>
      </c>
      <c r="J238" s="12" t="s">
        <v>215</v>
      </c>
    </row>
    <row r="239" spans="1:10" ht="51" x14ac:dyDescent="0.25">
      <c r="A239" s="2" t="s">
        <v>45</v>
      </c>
      <c r="B239" s="3" t="s">
        <v>357</v>
      </c>
      <c r="C239" s="4" t="str">
        <f>HYPERLINK("http://www8.mpce.mp.br/Dispensa/146020136.pdf","1460/2013-6")</f>
        <v>1460/2013-6</v>
      </c>
      <c r="D239" s="5">
        <v>45373</v>
      </c>
      <c r="E239" s="9" t="str">
        <f>HYPERLINK("https://www8.mpce.mp.br/Empenhos/150001/Objeto/39-2013.pdf","ALUGUEL DO IMÓVEL ONDE FUNCIONA A SEDE DAS PROMOTORIAS DE JUSTIÇA DA COMARCA DE CASCAVEL, CONF. CONTRATO 039/2013, REF. FEV E MAR/2024, POR ESTIMATIVA.")</f>
        <v>ALUGUEL DO IMÓVEL ONDE FUNCIONA A SEDE DAS PROMOTORIAS DE JUSTIÇA DA COMARCA DE CASCAVEL, CONF. CONTRATO 039/2013, REF. FEV E MAR/2024, POR ESTIMATIVA.</v>
      </c>
      <c r="F239" s="3" t="s">
        <v>172</v>
      </c>
      <c r="G239" s="6" t="str">
        <f>HYPERLINK("http://www8.mpce.mp.br/Empenhos/150501/NE/2024NE000309.pdf","2024NE000309")</f>
        <v>2024NE000309</v>
      </c>
      <c r="H239" s="7">
        <v>8683.1200000000008</v>
      </c>
      <c r="I239" s="8" t="s">
        <v>243</v>
      </c>
      <c r="J239" s="12" t="s">
        <v>244</v>
      </c>
    </row>
    <row r="240" spans="1:10" ht="51" x14ac:dyDescent="0.25">
      <c r="A240" s="2" t="s">
        <v>45</v>
      </c>
      <c r="B240" s="3" t="s">
        <v>405</v>
      </c>
      <c r="C240" s="4" t="str">
        <f>HYPERLINK("http://www8.mpce.mp.br/Dispensa/4572720144.pdf","45727/2014-4")</f>
        <v>45727/2014-4</v>
      </c>
      <c r="D240" s="5">
        <v>45377</v>
      </c>
      <c r="E240" s="9" t="str">
        <f>HYPERLINK("https://www8.mpce.mp.br/Empenhos/150001/Objeto/01-2015.pdf","RETROATIVO DAS TAXAS CONDOMINIAIS DOS MESES DE JANEIRO A MARÇO DE 2024, REF. AO IMÓVEL ONDE FUNCIONAM AS PROMOTORIAS DE JUSTIÇA DA COMARCA DE JUAZEIRO DO NORTE, CONF. CONTRATO Nº 001/2015.")</f>
        <v>RETROATIVO DAS TAXAS CONDOMINIAIS DOS MESES DE JANEIRO A MARÇO DE 2024, REF. AO IMÓVEL ONDE FUNCIONAM AS PROMOTORIAS DE JUSTIÇA DA COMARCA DE JUAZEIRO DO NORTE, CONF. CONTRATO Nº 001/2015.</v>
      </c>
      <c r="F240" s="3" t="s">
        <v>242</v>
      </c>
      <c r="G240" s="6" t="str">
        <f>HYPERLINK("http://www8.mpce.mp.br/Empenhos/150501/NE/2024NE000315.pdf","2024NE000315")</f>
        <v>2024NE000315</v>
      </c>
      <c r="H240" s="7">
        <v>3780</v>
      </c>
      <c r="I240" s="8" t="s">
        <v>226</v>
      </c>
      <c r="J240" s="12" t="s">
        <v>227</v>
      </c>
    </row>
    <row r="241" spans="1:10" ht="51" x14ac:dyDescent="0.25">
      <c r="A241" s="2" t="s">
        <v>45</v>
      </c>
      <c r="B241" s="3" t="s">
        <v>406</v>
      </c>
      <c r="C241" s="4" t="str">
        <f>HYPERLINK("http://www8.mpce.mp.br/Dispensa/3642820165.pdf","36428/2016-5")</f>
        <v>36428/2016-5</v>
      </c>
      <c r="D241" s="5">
        <v>45377</v>
      </c>
      <c r="E241" s="9" t="str">
        <f>HYPERLINK("https://www8.mpce.mp.br/Empenhos/150001/Objeto/26-2017.pdf","RETROATIVO DE ALUGUÉIS, APÓS SUA MAJORAÇÃO, REF. AO IMÓVEL ONDE FUNCIONAM AS PROMOTORIAS DE JUSTIÇA DA COMARCA DE MARANGUAPE  DOS MESES DE JANEIRO A MARÇO DE 2024, CONF. CONTRATO Nº 026/2017.")</f>
        <v>RETROATIVO DE ALUGUÉIS, APÓS SUA MAJORAÇÃO, REF. AO IMÓVEL ONDE FUNCIONAM AS PROMOTORIAS DE JUSTIÇA DA COMARCA DE MARANGUAPE  DOS MESES DE JANEIRO A MARÇO DE 2024, CONF. CONTRATO Nº 026/2017.</v>
      </c>
      <c r="F241" s="3" t="s">
        <v>172</v>
      </c>
      <c r="G241" s="6" t="str">
        <f>HYPERLINK("http://www8.mpce.mp.br/Empenhos/150501/NE/2024NE000316.pdf","2024NE000316")</f>
        <v>2024NE000316</v>
      </c>
      <c r="H241" s="7">
        <v>2071.71</v>
      </c>
      <c r="I241" s="8" t="s">
        <v>216</v>
      </c>
      <c r="J241" s="12" t="s">
        <v>217</v>
      </c>
    </row>
    <row r="242" spans="1:10" ht="76.5" x14ac:dyDescent="0.25">
      <c r="A242" s="2" t="s">
        <v>45</v>
      </c>
      <c r="B242" s="3" t="s">
        <v>407</v>
      </c>
      <c r="C242" s="4" t="str">
        <f>HYPERLINK("http://www8.mpce.mp.br/Dispensa/1291020194.pdf","12910/2019-4")</f>
        <v>12910/2019-4</v>
      </c>
      <c r="D242" s="5">
        <v>45378</v>
      </c>
      <c r="E242" s="9" t="s">
        <v>408</v>
      </c>
      <c r="F242" s="3" t="s">
        <v>264</v>
      </c>
      <c r="G242" s="6" t="str">
        <f>HYPERLINK("http://www8.mpce.mp.br/Empenhos/150501/NE/2024NE000317.pdf","2024NE000317")</f>
        <v>2024NE000317</v>
      </c>
      <c r="H242" s="7">
        <v>222.16</v>
      </c>
      <c r="I242" s="8" t="s">
        <v>159</v>
      </c>
      <c r="J242" s="12" t="s">
        <v>160</v>
      </c>
    </row>
    <row r="243" spans="1:10" ht="51" x14ac:dyDescent="0.25">
      <c r="A243" s="2" t="s">
        <v>45</v>
      </c>
      <c r="B243" s="3" t="s">
        <v>409</v>
      </c>
      <c r="C243" s="4" t="str">
        <f>HYPERLINK("https://transparencia-area-fim.mpce.mp.br/#/consulta/processo/pastadigital/092021000157125","09.2021.00015712-5")</f>
        <v>09.2021.00015712-5</v>
      </c>
      <c r="D243" s="5">
        <v>45384</v>
      </c>
      <c r="E243" s="9" t="str">
        <f>HYPERLINK("https://www8.mpce.mp.br/Empenhos/150001/Objeto/32-2021.pdf","SEGURO DE VIDA DOS 720 (SETECENTOS E VINTE) ESTAGIÁRIOS DO MPCE, CONF. CONTRATO 032/2021 E PROJETO 027/2023, REF. ABR, MAI E JUN/2024, POR ESTIMATIVA. ")</f>
        <v xml:space="preserve">SEGURO DE VIDA DOS 720 (SETECENTOS E VINTE) ESTAGIÁRIOS DO MPCE, CONF. CONTRATO 032/2021 E PROJETO 027/2023, REF. ABR, MAI E JUN/2024, POR ESTIMATIVA. </v>
      </c>
      <c r="F243" s="3" t="s">
        <v>72</v>
      </c>
      <c r="G243" s="6" t="str">
        <f>HYPERLINK("http://www8.mpce.mp.br/Empenhos/150501/NE/2024NE000319.pdf","2024NE000319")</f>
        <v>2024NE000319</v>
      </c>
      <c r="H243" s="7">
        <v>410.4</v>
      </c>
      <c r="I243" s="8" t="s">
        <v>49</v>
      </c>
      <c r="J243" s="12" t="s">
        <v>50</v>
      </c>
    </row>
    <row r="244" spans="1:10" ht="51" x14ac:dyDescent="0.25">
      <c r="A244" s="2" t="s">
        <v>45</v>
      </c>
      <c r="B244" s="3" t="s">
        <v>414</v>
      </c>
      <c r="C244" s="4" t="str">
        <f>HYPERLINK("http://www8.mpce.mp.br/Dispensa/2826420164.pdf","28264/2016-4")</f>
        <v>28264/2016-4</v>
      </c>
      <c r="D244" s="5">
        <v>45385</v>
      </c>
      <c r="E244" s="9" t="str">
        <f>HYPERLINK("https://www8.mpce.mp.br/Empenhos/150001/Objeto/26-2016.pdf","EMPENHO DE IPTU/2024, REFERENTE A 2ª PARCELA DO IMÓVEL ONDE FUNCIONAM OS CENTROS DE APOIO E INVESTIGAÇÃO, LOCALIZADO À AVENIDA ANTÔNIO SALES, 1740, DIONÍSIO TORRES, CONF. CONTRATO Nº 026/2016.")</f>
        <v>EMPENHO DE IPTU/2024, REFERENTE A 2ª PARCELA DO IMÓVEL ONDE FUNCIONAM OS CENTROS DE APOIO E INVESTIGAÇÃO, LOCALIZADO À AVENIDA ANTÔNIO SALES, 1740, DIONÍSIO TORRES, CONF. CONTRATO Nº 026/2016.</v>
      </c>
      <c r="F244" s="3" t="s">
        <v>264</v>
      </c>
      <c r="G244" s="6" t="str">
        <f>HYPERLINK("http://www8.mpce.mp.br/Empenhos/150501/NE/2024NE000320.pdf","2024NE000320")</f>
        <v>2024NE000320</v>
      </c>
      <c r="H244" s="7">
        <v>3155.01</v>
      </c>
      <c r="I244" s="8" t="s">
        <v>153</v>
      </c>
      <c r="J244" s="12" t="s">
        <v>154</v>
      </c>
    </row>
    <row r="245" spans="1:10" ht="63.75" x14ac:dyDescent="0.25">
      <c r="A245" s="2" t="s">
        <v>20</v>
      </c>
      <c r="B245" s="3" t="s">
        <v>410</v>
      </c>
      <c r="C245" s="4" t="str">
        <f>HYPERLINK("https://transparencia-area-fim.mpce.mp.br/#/consulta/processo/pastadigital/092024000019624","09.2024.00001962-4")</f>
        <v>09.2024.00001962-4</v>
      </c>
      <c r="D245" s="5">
        <v>45350</v>
      </c>
      <c r="E245" s="9" t="s">
        <v>411</v>
      </c>
      <c r="F245" s="3" t="s">
        <v>399</v>
      </c>
      <c r="G245" s="6" t="str">
        <f>HYPERLINK("http://www8.mpce.mp.br/Empenhos/150001/NE/2024NE000320.pdf","2024NE000320")</f>
        <v>2024NE000320</v>
      </c>
      <c r="H245" s="7">
        <v>7350</v>
      </c>
      <c r="I245" s="8" t="s">
        <v>412</v>
      </c>
      <c r="J245" s="12" t="s">
        <v>413</v>
      </c>
    </row>
    <row r="246" spans="1:10" ht="51" x14ac:dyDescent="0.25">
      <c r="A246" s="2" t="s">
        <v>20</v>
      </c>
      <c r="B246" s="3" t="s">
        <v>415</v>
      </c>
      <c r="C246" s="4" t="str">
        <f>HYPERLINK("https://transparencia-area-fim.mpce.mp.br/#/consulta/processo/pastadigital/092021000000456","09.2021.00000045-6")</f>
        <v>09.2021.00000045-6</v>
      </c>
      <c r="D246" s="5">
        <v>45386</v>
      </c>
      <c r="E246" s="9" t="str">
        <f>HYPERLINK("https://www8.mpce.mp.br/Empenhos/150001/Objeto/02-2021.pdf","PRESTAÇÃO DE SERVIÇO DE SUPORTE TÉCNICO DA SOLUÇÃO GUARDIÃO WEB-BY NGC, RELATIVO AOS MESES ABRIL, MAIO E JUNHO DE 2024, CONF. CONTRATO 002/2021/PGJ E PROJETO Nº 019/2023.")</f>
        <v>PRESTAÇÃO DE SERVIÇO DE SUPORTE TÉCNICO DA SOLUÇÃO GUARDIÃO WEB-BY NGC, RELATIVO AOS MESES ABRIL, MAIO E JUNHO DE 2024, CONF. CONTRATO 002/2021/PGJ E PROJETO Nº 019/2023.</v>
      </c>
      <c r="F246" s="3" t="s">
        <v>71</v>
      </c>
      <c r="G246" s="6" t="str">
        <f>HYPERLINK("http://www8.mpce.mp.br/Empenhos/150501/NE/2024NE000321.pdf","2024NE000321")</f>
        <v>2024NE000321</v>
      </c>
      <c r="H246" s="7">
        <v>54790.38</v>
      </c>
      <c r="I246" s="8" t="s">
        <v>33</v>
      </c>
      <c r="J246" s="12" t="s">
        <v>34</v>
      </c>
    </row>
    <row r="247" spans="1:10" ht="51" x14ac:dyDescent="0.25">
      <c r="A247" s="2" t="s">
        <v>45</v>
      </c>
      <c r="B247" s="3" t="s">
        <v>416</v>
      </c>
      <c r="C247" s="4" t="str">
        <f>HYPERLINK("http://www8.mpce.mp.br/Dispensa/1291020194.pdf","12910/2019-4")</f>
        <v>12910/2019-4</v>
      </c>
      <c r="D247" s="5">
        <v>45386</v>
      </c>
      <c r="E247" s="9" t="str">
        <f>HYPERLINK("https://www8.mpce.mp.br/Empenhos/150001/Objeto/39-2019.pdf","REEMBOLSO DE IPTU DO IMÓVEL ONDE FUNCIONA A SEDE DAS PROMOTORIAS DE JUSTIÇA DA INFÂNCIA E JUVENTUDE, CONF. CONTRATO 039/2019, REF. 1ª E 2ª PARCELAS, BEM COMO 5 DIAS PROPORCIONAIS DA 3ª PARCELA DE 2024.")</f>
        <v>REEMBOLSO DE IPTU DO IMÓVEL ONDE FUNCIONA A SEDE DAS PROMOTORIAS DE JUSTIÇA DA INFÂNCIA E JUVENTUDE, CONF. CONTRATO 039/2019, REF. 1ª E 2ª PARCELAS, BEM COMO 5 DIAS PROPORCIONAIS DA 3ª PARCELA DE 2024.</v>
      </c>
      <c r="F247" s="3" t="s">
        <v>264</v>
      </c>
      <c r="G247" s="6" t="str">
        <f>HYPERLINK("http://www8.mpce.mp.br/Empenhos/150501/NE/2024NE000323.pdf","2024NE000323")</f>
        <v>2024NE000323</v>
      </c>
      <c r="H247" s="7">
        <v>352.24</v>
      </c>
      <c r="I247" s="8" t="s">
        <v>159</v>
      </c>
      <c r="J247" s="12" t="s">
        <v>160</v>
      </c>
    </row>
    <row r="248" spans="1:10" ht="89.25" x14ac:dyDescent="0.25">
      <c r="A248" s="2" t="s">
        <v>45</v>
      </c>
      <c r="B248" s="3" t="s">
        <v>417</v>
      </c>
      <c r="C248" s="4" t="str">
        <f>HYPERLINK("http://www8.mpce.mp.br/Dispensa/3657120162.pdf","3657120162")</f>
        <v>3657120162</v>
      </c>
      <c r="D248" s="5">
        <v>45387</v>
      </c>
      <c r="E248" s="9" t="s">
        <v>418</v>
      </c>
      <c r="F248" s="3" t="s">
        <v>419</v>
      </c>
      <c r="G248" s="6" t="str">
        <f>HYPERLINK("http://www8.mpce.mp.br/Empenhos/150501/NE/2024NE000325.pdf","2024NE000325")</f>
        <v>2024NE000325</v>
      </c>
      <c r="H248" s="7">
        <v>57.09</v>
      </c>
      <c r="I248" s="8" t="s">
        <v>224</v>
      </c>
      <c r="J248" s="12" t="s">
        <v>225</v>
      </c>
    </row>
    <row r="249" spans="1:10" ht="63.75" x14ac:dyDescent="0.25">
      <c r="A249" s="2" t="s">
        <v>45</v>
      </c>
      <c r="B249" s="3" t="s">
        <v>420</v>
      </c>
      <c r="C249" s="4" t="str">
        <f>HYPERLINK("https://transparencia-area-fim.mpce.mp.br/#/consulta/processo/pastadigital/092021000349974","09.2021.00034997-4")</f>
        <v>09.2021.00034997-4</v>
      </c>
      <c r="D249" s="5">
        <v>45390</v>
      </c>
      <c r="E249" s="9" t="str">
        <f>HYPERLINK("https://www8.mpce.mp.br/Empenhos/150001/Objeto/01-2022.pdf","DISPONIBILIZAÇÃO DE SOLUÇÃO TÉCNOLÓGICA (SAAS) MULTICANAL PARA ATENDIMENTO E GERENCIAMENTO DO RELACIONAMENTO COMO USUÁRIO, DISPONIBILIZAÇÃO E AUTOMAÇÃO DE SERVIÇO, REF. AO MÊS DE ABRIL DE 2024, CONF. CONTRATO Nº 001/2022 E PROJETO Nº 52/2023.")</f>
        <v>DISPONIBILIZAÇÃO DE SOLUÇÃO TÉCNOLÓGICA (SAAS) MULTICANAL PARA ATENDIMENTO E GERENCIAMENTO DO RELACIONAMENTO COMO USUÁRIO, DISPONIBILIZAÇÃO E AUTOMAÇÃO DE SERVIÇO, REF. AO MÊS DE ABRIL DE 2024, CONF. CONTRATO Nº 001/2022 E PROJETO Nº 52/2023.</v>
      </c>
      <c r="F249" s="3" t="s">
        <v>262</v>
      </c>
      <c r="G249" s="6" t="str">
        <f>HYPERLINK("http://www8.mpce.mp.br/Empenhos/150501/NE/2024NE000329.pdf","2024NE000329")</f>
        <v>2024NE000329</v>
      </c>
      <c r="H249" s="7">
        <v>13800</v>
      </c>
      <c r="I249" s="8" t="s">
        <v>255</v>
      </c>
      <c r="J249" s="12" t="s">
        <v>256</v>
      </c>
    </row>
    <row r="250" spans="1:10" ht="38.25" x14ac:dyDescent="0.25">
      <c r="A250" s="2" t="s">
        <v>45</v>
      </c>
      <c r="B250" s="3" t="s">
        <v>421</v>
      </c>
      <c r="C250" s="4" t="str">
        <f>HYPERLINK("http://www8.mpce.mp.br/Dispensa/3072520194.pdf","30725/2019-4")</f>
        <v>30725/2019-4</v>
      </c>
      <c r="D250" s="5">
        <v>45390</v>
      </c>
      <c r="E250" s="9" t="str">
        <f>HYPERLINK("https://www8.mpce.mp.br/Empenhos/150001/Objeto/06-2020.pdf","LINK DE DADOS, SERVIÇO DE NUVEM E HORAS IMPRODUTIVAS , REF. AO MÊS DE ABRIL DE 2024, CONF. CONTRATO Nº 006/2020 E PROJETO Nº 052/2023.")</f>
        <v>LINK DE DADOS, SERVIÇO DE NUVEM E HORAS IMPRODUTIVAS , REF. AO MÊS DE ABRIL DE 2024, CONF. CONTRATO Nº 006/2020 E PROJETO Nº 052/2023.</v>
      </c>
      <c r="F250" s="3" t="s">
        <v>254</v>
      </c>
      <c r="G250" s="6" t="str">
        <f>HYPERLINK("http://www8.mpce.mp.br/Empenhos/150501/NE/2024NE000330.pdf","2024NE000330")</f>
        <v>2024NE000330</v>
      </c>
      <c r="H250" s="7">
        <v>22563.68</v>
      </c>
      <c r="I250" s="8" t="s">
        <v>255</v>
      </c>
      <c r="J250" s="12" t="s">
        <v>256</v>
      </c>
    </row>
    <row r="251" spans="1:10" ht="51" x14ac:dyDescent="0.25">
      <c r="A251" s="2" t="s">
        <v>45</v>
      </c>
      <c r="B251" s="3" t="s">
        <v>422</v>
      </c>
      <c r="C251" s="4" t="str">
        <f>HYPERLINK("https://transparencia-area-fim.mpce.mp.br/#/consulta/processo/pastadigital/092022000111032","09.2022.00011103-2")</f>
        <v>09.2022.00011103-2</v>
      </c>
      <c r="D251" s="5">
        <v>45390</v>
      </c>
      <c r="E251" s="9" t="str">
        <f>HYPERLINK("https://www8.mpce.mp.br/Empenhos/150001/Objeto/23-2022.pdf","PROVIMENTO DE RECURSOS EM NUVEM, SERVIÇOS TÉCNICOS ESPECIALIZADOS E LINK DEDICADO PARA A NUVEM, REF. AO MÊS DE ABRIL DE 2024, CONF. CONTRATO Nº 023/2022 E PROJETO Nº 52/2023.")</f>
        <v>PROVIMENTO DE RECURSOS EM NUVEM, SERVIÇOS TÉCNICOS ESPECIALIZADOS E LINK DEDICADO PARA A NUVEM, REF. AO MÊS DE ABRIL DE 2024, CONF. CONTRATO Nº 023/2022 E PROJETO Nº 52/2023.</v>
      </c>
      <c r="F251" s="3" t="s">
        <v>254</v>
      </c>
      <c r="G251" s="6" t="str">
        <f>HYPERLINK("http://www8.mpce.mp.br/Empenhos/150501/NE/2024NE000331.pdf","2024NE000331")</f>
        <v>2024NE000331</v>
      </c>
      <c r="H251" s="7">
        <v>45000</v>
      </c>
      <c r="I251" s="8" t="s">
        <v>255</v>
      </c>
      <c r="J251" s="12" t="s">
        <v>256</v>
      </c>
    </row>
    <row r="252" spans="1:10" ht="89.25" x14ac:dyDescent="0.25">
      <c r="A252" s="2" t="s">
        <v>45</v>
      </c>
      <c r="B252" s="3" t="s">
        <v>423</v>
      </c>
      <c r="C252" s="4" t="str">
        <f>HYPERLINK("https://transparencia-area-fim.mpce.mp.br/#/consulta/processo/pastadigital/092023000117363","09.2023.00011736-3")</f>
        <v>09.2023.00011736-3</v>
      </c>
      <c r="D252" s="5">
        <v>45390</v>
      </c>
      <c r="E252" s="9" t="s">
        <v>424</v>
      </c>
      <c r="F252" s="3" t="s">
        <v>262</v>
      </c>
      <c r="G252" s="6" t="str">
        <f>HYPERLINK("http://www8.mpce.mp.br/Empenhos/150501/NE/2024NE000332.pdf","2024NE000332")</f>
        <v>2024NE000332</v>
      </c>
      <c r="H252" s="7">
        <v>6216.42</v>
      </c>
      <c r="I252" s="8" t="s">
        <v>255</v>
      </c>
      <c r="J252" s="12" t="s">
        <v>256</v>
      </c>
    </row>
    <row r="253" spans="1:10" ht="127.5" x14ac:dyDescent="0.25">
      <c r="A253" s="2" t="s">
        <v>20</v>
      </c>
      <c r="B253" s="3" t="s">
        <v>425</v>
      </c>
      <c r="C253" s="4" t="str">
        <f>HYPERLINK("https://transparencia-area-fim.mpce.mp.br/#/consulta/processo/pastadigital/092023000079630","09.2023.00007963-0")</f>
        <v>09.2023.00007963-0</v>
      </c>
      <c r="D253" s="5">
        <v>45393</v>
      </c>
      <c r="E253" s="9" t="s">
        <v>426</v>
      </c>
      <c r="F253" s="3" t="s">
        <v>120</v>
      </c>
      <c r="G253" s="6" t="str">
        <f>HYPERLINK("http://www8.mpce.mp.br/Empenhos/150501/NE/2024NE000334.pdf","2024NE000334")</f>
        <v>2024NE000334</v>
      </c>
      <c r="H253" s="7">
        <v>65600</v>
      </c>
      <c r="I253" s="8" t="s">
        <v>124</v>
      </c>
      <c r="J253" s="12" t="s">
        <v>125</v>
      </c>
    </row>
    <row r="254" spans="1:10" ht="51" x14ac:dyDescent="0.25">
      <c r="A254" s="2" t="s">
        <v>45</v>
      </c>
      <c r="B254" s="3" t="s">
        <v>427</v>
      </c>
      <c r="C254" s="4" t="str">
        <f>HYPERLINK("https://transparencia-area-fim.mpce.mp.br/#/consulta/processo/pastadigital/092020000096883","09.2020.00009688-3")</f>
        <v>09.2020.00009688-3</v>
      </c>
      <c r="D254" s="5">
        <v>45391</v>
      </c>
      <c r="E254" s="9" t="str">
        <f>HYPERLINK("https://www8.mpce.mp.br/Empenhos/150001/Objeto/28-2020.pdf","SERVIÇOS DE SUPORTE E FORNECIMENTO DOS SERVIÇOS COMPUTACIONAIS DA PLATAFORMA GOOGLE MAPS, CONF. CONTRATO 028/2020, REF. ABR, MAI E JUN/2024, POR ESTIMATIVA.")</f>
        <v>SERVIÇOS DE SUPORTE E FORNECIMENTO DOS SERVIÇOS COMPUTACIONAIS DA PLATAFORMA GOOGLE MAPS, CONF. CONTRATO 028/2020, REF. ABR, MAI E JUN/2024, POR ESTIMATIVA.</v>
      </c>
      <c r="F254" s="3" t="s">
        <v>82</v>
      </c>
      <c r="G254" s="6" t="str">
        <f>HYPERLINK("http://www8.mpce.mp.br/Empenhos/150501/NE/2024NE000340.pdf","2024NE000340")</f>
        <v>2024NE000340</v>
      </c>
      <c r="H254" s="7">
        <v>900</v>
      </c>
      <c r="I254" s="8" t="s">
        <v>272</v>
      </c>
      <c r="J254" s="12" t="s">
        <v>273</v>
      </c>
    </row>
    <row r="255" spans="1:10" ht="38.25" x14ac:dyDescent="0.25">
      <c r="A255" s="2" t="s">
        <v>20</v>
      </c>
      <c r="B255" s="3" t="s">
        <v>428</v>
      </c>
      <c r="C255" s="4" t="str">
        <f>HYPERLINK("https://transparencia-area-fim.mpce.mp.br/#/consulta/processo/pastadigital/092021000189150","09.2021.00018915-0")</f>
        <v>09.2021.00018915-0</v>
      </c>
      <c r="D255" s="5">
        <v>45391</v>
      </c>
      <c r="E255" s="9" t="str">
        <f>HYPERLINK("https://www8.mpce.mp.br/Empenhos/150001/Objeto/09-2022.pdf","SERVIÇOS DE EXTENSÃO DE GARANTIA PARA O DATA CENTER, REF. AO MÊS DE ABRIL, CONF. CONTRATO Nº 009/2022 E PROJETO Nº 52/2023.")</f>
        <v>SERVIÇOS DE EXTENSÃO DE GARANTIA PARA O DATA CENTER, REF. AO MÊS DE ABRIL, CONF. CONTRATO Nº 009/2022 E PROJETO Nº 52/2023.</v>
      </c>
      <c r="F255" s="3" t="s">
        <v>278</v>
      </c>
      <c r="G255" s="6" t="str">
        <f>HYPERLINK("http://www8.mpce.mp.br/Empenhos/150501/NE/2024NE000341.pdf","2024NE000341")</f>
        <v>2024NE000341</v>
      </c>
      <c r="H255" s="7">
        <v>21000</v>
      </c>
      <c r="I255" s="8" t="s">
        <v>279</v>
      </c>
      <c r="J255" s="12" t="s">
        <v>280</v>
      </c>
    </row>
    <row r="256" spans="1:10" ht="63.75" x14ac:dyDescent="0.25">
      <c r="A256" s="2" t="s">
        <v>45</v>
      </c>
      <c r="B256" s="3" t="s">
        <v>429</v>
      </c>
      <c r="C256" s="4" t="str">
        <f>HYPERLINK("http://www8.mpce.mp.br/Dispensa/842220170.pdf","8422/20170")</f>
        <v>8422/20170</v>
      </c>
      <c r="D256" s="5">
        <v>45392</v>
      </c>
      <c r="E256" s="9" t="str">
        <f>HYPERLINK("https://www8.mpce.mp.br/Empenhos/150001/Objeto/16-2017.pdf","EMPENHO DE IPTU REFERENTE A 3ª PARCELA DE 2024 DO IMÓVEL ONDE FUNCIONAVAM AS PROMOTORIAS DE JUSTIÇA CRIMINAIS, LOCALIZADAS À AV. CEL. JOSÉ FILOMENO GOMES, 222, BAIRRO LUCIANO CAVALCANTE, CONF. CONTRATO Nº 016/2017/PGJ.")</f>
        <v>EMPENHO DE IPTU REFERENTE A 3ª PARCELA DE 2024 DO IMÓVEL ONDE FUNCIONAVAM AS PROMOTORIAS DE JUSTIÇA CRIMINAIS, LOCALIZADAS À AV. CEL. JOSÉ FILOMENO GOMES, 222, BAIRRO LUCIANO CAVALCANTE, CONF. CONTRATO Nº 016/2017/PGJ.</v>
      </c>
      <c r="F256" s="3" t="s">
        <v>264</v>
      </c>
      <c r="G256" s="6" t="str">
        <f>HYPERLINK("http://www8.mpce.mp.br/Empenhos/150501/NE/2024NE000342.pdf","2024NE000342")</f>
        <v>2024NE000342</v>
      </c>
      <c r="H256" s="7">
        <v>2619.0100000000002</v>
      </c>
      <c r="I256" s="8" t="s">
        <v>169</v>
      </c>
      <c r="J256" s="12" t="s">
        <v>170</v>
      </c>
    </row>
    <row r="257" spans="1:10" ht="63.75" x14ac:dyDescent="0.25">
      <c r="A257" s="2" t="s">
        <v>45</v>
      </c>
      <c r="B257" s="3" t="s">
        <v>345</v>
      </c>
      <c r="C257" s="4" t="str">
        <f>HYPERLINK("http://www8.mpce.mp.br/Dispensa/842220170.pdf","8422/20170")</f>
        <v>8422/20170</v>
      </c>
      <c r="D257" s="5">
        <v>45392</v>
      </c>
      <c r="E257" s="9" t="str">
        <f>HYPERLINK("https://www8.mpce.mp.br/Empenhos/150001/Objeto/16-2017.pdf","EMPENHO DE TMRSU REFERENTE A 3ª PARCELA DE 2024 DO IMÓVEL ONDE FUNCIONAVAM AS PROMOTORIAS DE JUSTIÇA CRIMINAIS, LOCALIZADAS À AV. CEL. JOSÉ FILOMENO GOMES, 222, BAIRRO LUCIANO CAVALCANTE, CONF. CONTRATO Nº 016/2017/PGJ.")</f>
        <v>EMPENHO DE TMRSU REFERENTE A 3ª PARCELA DE 2024 DO IMÓVEL ONDE FUNCIONAVAM AS PROMOTORIAS DE JUSTIÇA CRIMINAIS, LOCALIZADAS À AV. CEL. JOSÉ FILOMENO GOMES, 222, BAIRRO LUCIANO CAVALCANTE, CONF. CONTRATO Nº 016/2017/PGJ.</v>
      </c>
      <c r="F257" s="3" t="s">
        <v>264</v>
      </c>
      <c r="G257" s="6" t="str">
        <f>HYPERLINK("http://www8.mpce.mp.br/Empenhos/150501/NE/2024NE000343.pdf","2024NE000343")</f>
        <v>2024NE000343</v>
      </c>
      <c r="H257" s="7">
        <v>152.32</v>
      </c>
      <c r="I257" s="8" t="s">
        <v>169</v>
      </c>
      <c r="J257" s="12" t="s">
        <v>170</v>
      </c>
    </row>
    <row r="258" spans="1:10" ht="38.25" x14ac:dyDescent="0.25">
      <c r="A258" s="2" t="s">
        <v>20</v>
      </c>
      <c r="B258" s="3" t="s">
        <v>430</v>
      </c>
      <c r="C258" s="4" t="str">
        <f>HYPERLINK("http://www8.mpce.mp.br/Inexigibilidade/2903020176.pdf","29030/2017-6")</f>
        <v>29030/2017-6</v>
      </c>
      <c r="D258" s="5">
        <v>45394</v>
      </c>
      <c r="E258" s="9" t="str">
        <f>HYPERLINK("https://www8.mpce.mp.br/Empenhos/150001/Objeto/31-2018.pdf","SERVIÇOS DE SUSTENTAÇÃO SISTEMA SAJ - MP / GETF, CONF. CONTRATO Nº 031/2018 E PROJETO Nº 52/2023, INERENTE AO MÊS DE ABRIL DE 2024.")</f>
        <v>SERVIÇOS DE SUSTENTAÇÃO SISTEMA SAJ - MP / GETF, CONF. CONTRATO Nº 031/2018 E PROJETO Nº 52/2023, INERENTE AO MÊS DE ABRIL DE 2024.</v>
      </c>
      <c r="F258" s="3" t="s">
        <v>82</v>
      </c>
      <c r="G258" s="6" t="str">
        <f>HYPERLINK("http://www8.mpce.mp.br/Empenhos/150501/NE/2024NE000344.pdf","2024NE000344")</f>
        <v>2024NE000344</v>
      </c>
      <c r="H258" s="7">
        <v>136479.79</v>
      </c>
      <c r="I258" s="8" t="s">
        <v>83</v>
      </c>
      <c r="J258" s="12" t="s">
        <v>84</v>
      </c>
    </row>
    <row r="259" spans="1:10" ht="38.25" x14ac:dyDescent="0.25">
      <c r="A259" s="2" t="s">
        <v>20</v>
      </c>
      <c r="B259" s="3" t="s">
        <v>431</v>
      </c>
      <c r="C259" s="4" t="str">
        <f>HYPERLINK("http://www8.mpce.mp.br/Inexigibilidade/2903020176.pdf","29030/2017-6")</f>
        <v>29030/2017-6</v>
      </c>
      <c r="D259" s="5">
        <v>45394</v>
      </c>
      <c r="E259" s="9" t="str">
        <f>HYPERLINK("https://www8.mpce.mp.br/Empenhos/150001/Objeto/31-2018.pdf","SISTEMA DE SUSTENTAÇÃO SAJ - MP, CONF. CONTRATO Nº 31/2018 E PROJETO Nº 52/2023, REFERENTE AO MÊS DE ABRIL DE 2024.")</f>
        <v>SISTEMA DE SUSTENTAÇÃO SAJ - MP, CONF. CONTRATO Nº 31/2018 E PROJETO Nº 52/2023, REFERENTE AO MÊS DE ABRIL DE 2024.</v>
      </c>
      <c r="F259" s="3" t="s">
        <v>82</v>
      </c>
      <c r="G259" s="6" t="str">
        <f>HYPERLINK("http://www8.mpce.mp.br/Empenhos/150501/NE/2024NE000347.pdf","2024NE000347")</f>
        <v>2024NE000347</v>
      </c>
      <c r="H259" s="7">
        <v>73489.119999999995</v>
      </c>
      <c r="I259" s="8" t="s">
        <v>83</v>
      </c>
      <c r="J259" s="12" t="s">
        <v>84</v>
      </c>
    </row>
    <row r="260" spans="1:10" ht="51" x14ac:dyDescent="0.25">
      <c r="A260" s="2" t="s">
        <v>20</v>
      </c>
      <c r="B260" s="3" t="s">
        <v>430</v>
      </c>
      <c r="C260" s="4" t="str">
        <f>HYPERLINK("http://www8.mpce.mp.br/Inexigibilidade/2903020176.pdf","29030/2017-6")</f>
        <v>29030/2017-6</v>
      </c>
      <c r="D260" s="5">
        <v>45394</v>
      </c>
      <c r="E260" s="9" t="str">
        <f>HYPERLINK("https://www8.mpce.mp.br/Empenhos/150001/Objeto/31-2018.pdf","SISTEMA  SAJ - MP (SOB DEMANADA), CICLO: 2024 -2, CONF. CONTRATO Nº 31/2018 E PROJETO Nº 52/2023, REFERENTE AO MESES DE ABRIL, MAIO E JUNHO (PROPORCIONAL 13 DIAS) DE 2024.")</f>
        <v>SISTEMA  SAJ - MP (SOB DEMANADA), CICLO: 2024 -2, CONF. CONTRATO Nº 31/2018 E PROJETO Nº 52/2023, REFERENTE AO MESES DE ABRIL, MAIO E JUNHO (PROPORCIONAL 13 DIAS) DE 2024.</v>
      </c>
      <c r="F260" s="3" t="s">
        <v>82</v>
      </c>
      <c r="G260" s="6" t="str">
        <f>HYPERLINK("http://www8.mpce.mp.br/Empenhos/150501/NE/2024NE000348.pdf","2024NE000348")</f>
        <v>2024NE000348</v>
      </c>
      <c r="H260" s="7">
        <v>22627.360000000001</v>
      </c>
      <c r="I260" s="8" t="s">
        <v>83</v>
      </c>
      <c r="J260" s="12" t="s">
        <v>84</v>
      </c>
    </row>
    <row r="261" spans="1:10" ht="38.25" x14ac:dyDescent="0.25">
      <c r="A261" s="2" t="s">
        <v>20</v>
      </c>
      <c r="B261" s="3" t="s">
        <v>430</v>
      </c>
      <c r="C261" s="4" t="str">
        <f>HYPERLINK("http://www8.mpce.mp.br/Inexigibilidade/2903020176.pdf","29030/2017-6")</f>
        <v>29030/2017-6</v>
      </c>
      <c r="D261" s="5">
        <v>45393</v>
      </c>
      <c r="E261" s="9" t="str">
        <f>HYPERLINK("https://www8.mpce.mp.br/Empenhos/150001/Objeto/31-2018.pdf","SISTEMA  SAJ - MP - SUPORTE 1º NÍVEL,  CONF. CONTRATO Nº 31/2018 E PROJETO Nº 52/2023, REFERENTE AO MÊS DE ABRIL DE 2024.")</f>
        <v>SISTEMA  SAJ - MP - SUPORTE 1º NÍVEL,  CONF. CONTRATO Nº 31/2018 E PROJETO Nº 52/2023, REFERENTE AO MÊS DE ABRIL DE 2024.</v>
      </c>
      <c r="F261" s="3" t="s">
        <v>82</v>
      </c>
      <c r="G261" s="6" t="str">
        <f>HYPERLINK("http://www8.mpce.mp.br/Empenhos/150501/NE/2024NE000349.pdf","2024NE000349")</f>
        <v>2024NE000349</v>
      </c>
      <c r="H261" s="7">
        <v>160000</v>
      </c>
      <c r="I261" s="8" t="s">
        <v>83</v>
      </c>
      <c r="J261" s="12" t="s">
        <v>84</v>
      </c>
    </row>
    <row r="262" spans="1:10" ht="51" x14ac:dyDescent="0.25">
      <c r="A262" s="2" t="s">
        <v>20</v>
      </c>
      <c r="B262" s="3" t="s">
        <v>430</v>
      </c>
      <c r="C262" s="4" t="str">
        <f>HYPERLINK("http://www8.mpce.mp.br/Inexigibilidade/2903020176.pdf","29030/2017-6")</f>
        <v>29030/2017-6</v>
      </c>
      <c r="D262" s="5">
        <v>45393</v>
      </c>
      <c r="E262" s="9" t="str">
        <f>HYPERLINK("https://www8.mpce.mp.br/Empenhos/150001/Objeto/31-2018.pdf","SISTEMA  SAJ - MP - ACOMPANHAMENTO DA OPERAÇÃO E HOSPEDAGEM EM NUVEM,  CONF. CONTRATO Nº 31/2018 E PROJETO Nº 52/2023, REFERENTE AO MÊS DE ABRIL DE 2024.")</f>
        <v>SISTEMA  SAJ - MP - ACOMPANHAMENTO DA OPERAÇÃO E HOSPEDAGEM EM NUVEM,  CONF. CONTRATO Nº 31/2018 E PROJETO Nº 52/2023, REFERENTE AO MÊS DE ABRIL DE 2024.</v>
      </c>
      <c r="F262" s="3" t="s">
        <v>82</v>
      </c>
      <c r="G262" s="6" t="str">
        <f>HYPERLINK("http://www8.mpce.mp.br/Empenhos/150501/NE/2024NE000350.pdf","2024NE000350")</f>
        <v>2024NE000350</v>
      </c>
      <c r="H262" s="7">
        <v>164387.07</v>
      </c>
      <c r="I262" s="8" t="s">
        <v>83</v>
      </c>
      <c r="J262" s="12" t="s">
        <v>84</v>
      </c>
    </row>
    <row r="263" spans="1:10" ht="38.25" x14ac:dyDescent="0.25">
      <c r="A263" s="2" t="s">
        <v>20</v>
      </c>
      <c r="B263" s="3" t="s">
        <v>432</v>
      </c>
      <c r="C263" s="4" t="str">
        <f>HYPERLINK("https://transparencia-area-fim.mpce.mp.br/#/consulta/processo/pastadigital/092023000287946","09.2023.00028794-6")</f>
        <v>09.2023.00028794-6</v>
      </c>
      <c r="D263" s="5">
        <v>45393</v>
      </c>
      <c r="E263" s="9" t="str">
        <f>HYPERLINK("https://www8.mpce.mp.br/Empenhos/150001/Objeto/59-2023.pdf","LICENÇAS DE SOFTWARE, CONFORME CONTRATO 059/2023, POR ESTIMATIVA PARA OS MESES DE ABRIL, MAIO E JUNHO DE 2024. PROJETO 65/2023.")</f>
        <v>LICENÇAS DE SOFTWARE, CONFORME CONTRATO 059/2023, POR ESTIMATIVA PARA OS MESES DE ABRIL, MAIO E JUNHO DE 2024. PROJETO 65/2023.</v>
      </c>
      <c r="F263" s="3" t="s">
        <v>120</v>
      </c>
      <c r="G263" s="6" t="str">
        <f>HYPERLINK("http://www8.mpce.mp.br/Empenhos/150501/NE/2024NE000352.pdf","2024NE000352")</f>
        <v>2024NE000352</v>
      </c>
      <c r="H263" s="7">
        <v>7594.5</v>
      </c>
      <c r="I263" s="8" t="s">
        <v>121</v>
      </c>
      <c r="J263" s="12" t="s">
        <v>122</v>
      </c>
    </row>
    <row r="264" spans="1:10" ht="51" x14ac:dyDescent="0.25">
      <c r="A264" s="2" t="s">
        <v>45</v>
      </c>
      <c r="B264" s="3" t="s">
        <v>433</v>
      </c>
      <c r="C264" s="4" t="str">
        <f>HYPERLINK("https://transparencia-area-fim.mpce.mp.br/#/consulta/processo/pastadigital/092024000089200","09.2024.00008920-0")</f>
        <v>09.2024.00008920-0</v>
      </c>
      <c r="D264" s="5">
        <v>45392</v>
      </c>
      <c r="E264" s="9" t="s">
        <v>434</v>
      </c>
      <c r="F264" s="3" t="s">
        <v>127</v>
      </c>
      <c r="G264" s="6" t="str">
        <f>HYPERLINK("http://www8.mpce.mp.br/Empenhos/150501/NE/2024NE000354.pdf","2024NE000354")</f>
        <v>2024NE000354</v>
      </c>
      <c r="H264" s="7">
        <v>13486.5</v>
      </c>
      <c r="I264" s="8" t="s">
        <v>435</v>
      </c>
      <c r="J264" s="12" t="s">
        <v>436</v>
      </c>
    </row>
    <row r="265" spans="1:10" ht="51" x14ac:dyDescent="0.25">
      <c r="A265" s="2" t="s">
        <v>45</v>
      </c>
      <c r="B265" s="3" t="s">
        <v>437</v>
      </c>
      <c r="C265" s="4" t="str">
        <f>HYPERLINK("https://transparencia-area-fim.mpce.mp.br/#/consulta/processo/pastadigital/092021000244550","09.2021.00024455-0")</f>
        <v>09.2021.00024455-0</v>
      </c>
      <c r="D265" s="5">
        <v>45392</v>
      </c>
      <c r="E265" s="9" t="str">
        <f>HYPERLINK("https://www8.mpce.mp.br/Empenhos/150001/Objeto/10-2022.pdf","ALUGUEL DO IMÓVEL QUE ABRIGA A SEDE DAS PROMOTORIAS DE JUSTIÇA DA COMARCA DE ICÓ, CONF. CONTRATO 010/2022-1º ADITIVO, REF. ABR/2024, POR ESTIMATIVA.")</f>
        <v>ALUGUEL DO IMÓVEL QUE ABRIGA A SEDE DAS PROMOTORIAS DE JUSTIÇA DA COMARCA DE ICÓ, CONF. CONTRATO 010/2022-1º ADITIVO, REF. ABR/2024, POR ESTIMATIVA.</v>
      </c>
      <c r="F265" s="3" t="s">
        <v>127</v>
      </c>
      <c r="G265" s="6" t="str">
        <f>HYPERLINK("http://www8.mpce.mp.br/Empenhos/150501/NE/2024NE000357.pdf","2024NE000357")</f>
        <v>2024NE000357</v>
      </c>
      <c r="H265" s="7">
        <v>13486.5</v>
      </c>
      <c r="I265" s="8" t="s">
        <v>435</v>
      </c>
      <c r="J265" s="12" t="s">
        <v>436</v>
      </c>
    </row>
    <row r="266" spans="1:10" ht="38.25" x14ac:dyDescent="0.25">
      <c r="A266" s="2" t="s">
        <v>20</v>
      </c>
      <c r="B266" s="3" t="s">
        <v>438</v>
      </c>
      <c r="C266" s="4" t="str">
        <f>HYPERLINK("https://transparencia-area-fim.mpce.mp.br/#/consulta/processo/pastadigital/092021000204268","09.2021.00020426-8")</f>
        <v>09.2021.00020426-8</v>
      </c>
      <c r="D266" s="5">
        <v>45351</v>
      </c>
      <c r="E266" s="9" t="str">
        <f>HYPERLINK("https://www8.mpce.mp.br/Empenhos/150001/Objeto/36-2021.pdf","DOI REGISTRADO E SIMILARITY CHECK (VERIFICADOR DE PLÁGIO), CONF. CONTRATO 036/2021, REF. 2024, POR ESTIMATIVA.")</f>
        <v>DOI REGISTRADO E SIMILARITY CHECK (VERIFICADOR DE PLÁGIO), CONF. CONTRATO 036/2021, REF. 2024, POR ESTIMATIVA.</v>
      </c>
      <c r="F266" s="3" t="s">
        <v>92</v>
      </c>
      <c r="G266" s="6" t="str">
        <f>HYPERLINK("http://www8.mpce.mp.br/Empenhos/150001/NE/2024NE000358.pdf","2024NE000358")</f>
        <v>2024NE000358</v>
      </c>
      <c r="H266" s="7">
        <v>367.2</v>
      </c>
      <c r="I266" s="8" t="s">
        <v>370</v>
      </c>
      <c r="J266" s="12" t="s">
        <v>371</v>
      </c>
    </row>
    <row r="267" spans="1:10" ht="51" x14ac:dyDescent="0.25">
      <c r="A267" s="2" t="s">
        <v>45</v>
      </c>
      <c r="B267" s="3" t="s">
        <v>437</v>
      </c>
      <c r="C267" s="4" t="str">
        <f>HYPERLINK("https://transparencia-area-fim.mpce.mp.br/#/consulta/processo/pastadigital/092021000244550","09.2021.00024455-0")</f>
        <v>09.2021.00024455-0</v>
      </c>
      <c r="D267" s="5">
        <v>45393</v>
      </c>
      <c r="E267" s="9" t="str">
        <f>HYPERLINK("https://www8.mpce.mp.br/Empenhos/150001/Objeto/10-2022.pdf","ALUGUEL DO IMÓVEL QUE ABRIGA A SEDE DAS PROMOTORIAS DE JUSTIÇA DA COMARCA DE ICÓ, CONF. CONTRATO 010/2022-1º ADITIVO, REF. MAI E JUN/2024, POR ESTIMATIVA.")</f>
        <v>ALUGUEL DO IMÓVEL QUE ABRIGA A SEDE DAS PROMOTORIAS DE JUSTIÇA DA COMARCA DE ICÓ, CONF. CONTRATO 010/2022-1º ADITIVO, REF. MAI E JUN/2024, POR ESTIMATIVA.</v>
      </c>
      <c r="F267" s="3" t="s">
        <v>127</v>
      </c>
      <c r="G267" s="6" t="str">
        <f>HYPERLINK("http://www8.mpce.mp.br/Empenhos/150501/NE/2024NE000361.pdf","2024NE000361")</f>
        <v>2024NE000361</v>
      </c>
      <c r="H267" s="7">
        <v>26973</v>
      </c>
      <c r="I267" s="8" t="s">
        <v>435</v>
      </c>
      <c r="J267" s="12" t="s">
        <v>436</v>
      </c>
    </row>
    <row r="268" spans="1:10" ht="25.5" x14ac:dyDescent="0.25">
      <c r="A268" s="2" t="s">
        <v>45</v>
      </c>
      <c r="B268" s="3" t="s">
        <v>345</v>
      </c>
      <c r="C268" s="4" t="str">
        <f>HYPERLINK("http://www8.mpce.mp.br/Dispensa/842220170.pdf","8422/20170")</f>
        <v>8422/20170</v>
      </c>
      <c r="D268" s="5">
        <v>45393</v>
      </c>
      <c r="E268" s="9" t="str">
        <f>HYPERLINK("https://www8.mpce.mp.br/Empenhos/150001/Objeto/16-2017.pdf","EMPENHO DE TMRSU REFERENTE A 4ª PARCELA DE 2024, EM CONSONÂNCIA AO CONTRATO Nº 016/2017/PGJ.")</f>
        <v>EMPENHO DE TMRSU REFERENTE A 4ª PARCELA DE 2024, EM CONSONÂNCIA AO CONTRATO Nº 016/2017/PGJ.</v>
      </c>
      <c r="F268" s="3" t="s">
        <v>264</v>
      </c>
      <c r="G268" s="6" t="str">
        <f>HYPERLINK("http://www8.mpce.mp.br/Empenhos/150501/NE/2024NE000362.pdf","2024NE000362")</f>
        <v>2024NE000362</v>
      </c>
      <c r="H268" s="7">
        <v>152.32</v>
      </c>
      <c r="I268" s="8" t="s">
        <v>169</v>
      </c>
      <c r="J268" s="12" t="s">
        <v>170</v>
      </c>
    </row>
    <row r="269" spans="1:10" ht="38.25" x14ac:dyDescent="0.25">
      <c r="A269" s="2" t="s">
        <v>20</v>
      </c>
      <c r="B269" s="3" t="s">
        <v>91</v>
      </c>
      <c r="C269" s="4" t="str">
        <f>HYPERLINK("https://transparencia-area-fim.mpce.mp.br/#/consulta/processo/pastadigital/092023000047305","09.2023.00004730-5")</f>
        <v>09.2023.00004730-5</v>
      </c>
      <c r="D269" s="5">
        <v>45351</v>
      </c>
      <c r="E269" s="9" t="str">
        <f>HYPERLINK("https://www8.mpce.mp.br/Empenhos/150001/Objeto/13-2023.pdf","EMISSÃO DO ISBN, CÓDIGO DE BARRAS E REGISTROS AUTORAIS DE LIVROS DO MPCE, CONF. CONTRATO 013/2023, REF. FEV-DEZ/2024, POR ESTIMATIVA.")</f>
        <v>EMISSÃO DO ISBN, CÓDIGO DE BARRAS E REGISTROS AUTORAIS DE LIVROS DO MPCE, CONF. CONTRATO 013/2023, REF. FEV-DEZ/2024, POR ESTIMATIVA.</v>
      </c>
      <c r="F269" s="3" t="s">
        <v>92</v>
      </c>
      <c r="G269" s="6" t="str">
        <f>HYPERLINK("http://www8.mpce.mp.br/Empenhos/150001/NE/2024NE000365.pdf","2024NE000365")</f>
        <v>2024NE000365</v>
      </c>
      <c r="H269" s="7">
        <v>6236</v>
      </c>
      <c r="I269" s="8" t="s">
        <v>439</v>
      </c>
      <c r="J269" s="12" t="s">
        <v>440</v>
      </c>
    </row>
    <row r="270" spans="1:10" ht="38.25" x14ac:dyDescent="0.25">
      <c r="A270" s="2" t="s">
        <v>45</v>
      </c>
      <c r="B270" s="3" t="s">
        <v>441</v>
      </c>
      <c r="C270" s="4" t="str">
        <f>HYPERLINK("https://transparencia-area-fim.mpce.mp.br/#/consulta/processo/pastadigital/092020000123310","09.2020.00012331-0")</f>
        <v>09.2020.00012331-0</v>
      </c>
      <c r="D270" s="5">
        <v>45351</v>
      </c>
      <c r="E270" s="9" t="str">
        <f>HYPERLINK("https://www8.mpce.mp.br/Empenhos/150001/Objeto/06-2021.pdf","SERVIÇOS DE HOSPEDAGEM EM NUVENS DOS VOLUMES DA REVISTA ACADÊMICA DA ESMP, CONF. CONTRATO 006/2021, REF. JAN/2024.")</f>
        <v>SERVIÇOS DE HOSPEDAGEM EM NUVENS DOS VOLUMES DA REVISTA ACADÊMICA DA ESMP, CONF. CONTRATO 006/2021, REF. JAN/2024.</v>
      </c>
      <c r="F270" s="3" t="s">
        <v>442</v>
      </c>
      <c r="G270" s="6" t="str">
        <f>HYPERLINK("http://www8.mpce.mp.br/Empenhos/150001/NE/2024NE000366.pdf","2024NE000366")</f>
        <v>2024NE000366</v>
      </c>
      <c r="H270" s="7">
        <v>139</v>
      </c>
      <c r="I270" s="8" t="s">
        <v>443</v>
      </c>
      <c r="J270" s="12" t="s">
        <v>444</v>
      </c>
    </row>
    <row r="271" spans="1:10" ht="38.25" x14ac:dyDescent="0.25">
      <c r="A271" s="2" t="s">
        <v>45</v>
      </c>
      <c r="B271" s="3" t="s">
        <v>441</v>
      </c>
      <c r="C271" s="4" t="str">
        <f>HYPERLINK("https://transparencia-area-fim.mpce.mp.br/#/consulta/processo/pastadigital/092020000123310","09.2020.00012331-0")</f>
        <v>09.2020.00012331-0</v>
      </c>
      <c r="D271" s="5">
        <v>45351</v>
      </c>
      <c r="E271" s="9" t="str">
        <f>HYPERLINK("https://www8.mpce.mp.br/Empenhos/150001/Objeto/06-2021.pdf","SERVIÇOS DE HOSPEDAGEM EM NUVENS DOS VOLUMES DA REVISTA ACADÊMICA DA ESMP, CONF. CONTRATO 006/2021, REF. FEV-DEZ/2024, POR ESTIMATIVA.")</f>
        <v>SERVIÇOS DE HOSPEDAGEM EM NUVENS DOS VOLUMES DA REVISTA ACADÊMICA DA ESMP, CONF. CONTRATO 006/2021, REF. FEV-DEZ/2024, POR ESTIMATIVA.</v>
      </c>
      <c r="F271" s="3" t="s">
        <v>442</v>
      </c>
      <c r="G271" s="6" t="str">
        <f>HYPERLINK("http://www8.mpce.mp.br/Empenhos/150001/NE/2024NE000367.pdf","2024NE000367")</f>
        <v>2024NE000367</v>
      </c>
      <c r="H271" s="7">
        <v>1529</v>
      </c>
      <c r="I271" s="8" t="s">
        <v>443</v>
      </c>
      <c r="J271" s="12" t="s">
        <v>444</v>
      </c>
    </row>
    <row r="272" spans="1:10" ht="51" x14ac:dyDescent="0.25">
      <c r="A272" s="2" t="s">
        <v>45</v>
      </c>
      <c r="B272" s="3" t="s">
        <v>357</v>
      </c>
      <c r="C272" s="4" t="str">
        <f>HYPERLINK("http://www8.mpce.mp.br/Dispensa/1955220197.pdf","19552/2019-7")</f>
        <v>19552/2019-7</v>
      </c>
      <c r="D272" s="5">
        <v>45394</v>
      </c>
      <c r="E272" s="9" t="str">
        <f>HYPERLINK("https://www8.mpce.mp.br/Empenhos/150001/Objeto/85-2019.pdf","REEMBOLSO DE IPTU DO IMÓVEL ONDE FUNCIONA A SEDE DAS PROMOTORIAS DE JUSTIÇA DA COMARCA DE PARAIPABA, CONF. CONTRATO 085/2019, REF. 2024  PARCELA ÚNICA. ")</f>
        <v xml:space="preserve">REEMBOLSO DE IPTU DO IMÓVEL ONDE FUNCIONA A SEDE DAS PROMOTORIAS DE JUSTIÇA DA COMARCA DE PARAIPABA, CONF. CONTRATO 085/2019, REF. 2024  PARCELA ÚNICA. </v>
      </c>
      <c r="F272" s="3" t="s">
        <v>419</v>
      </c>
      <c r="G272" s="6" t="str">
        <f>HYPERLINK("http://www8.mpce.mp.br/Empenhos/150501/NE/2024NE000368.pdf","2024NE000368")</f>
        <v>2024NE000368</v>
      </c>
      <c r="H272" s="7">
        <v>100.29</v>
      </c>
      <c r="I272" s="8" t="s">
        <v>197</v>
      </c>
      <c r="J272" s="12" t="s">
        <v>198</v>
      </c>
    </row>
    <row r="273" spans="1:10" ht="56.25" x14ac:dyDescent="0.25">
      <c r="A273" s="2" t="s">
        <v>45</v>
      </c>
      <c r="B273" s="3" t="s">
        <v>491</v>
      </c>
      <c r="C273" s="4" t="str">
        <f>HYPERLINK("https://transparencia-area-fim.mpce.mp.br/#/consulta/processo/pastadigital/092023000287468","09.2023.00028746-8")</f>
        <v>09.2023.00028746-8</v>
      </c>
      <c r="D273" s="5">
        <v>45405</v>
      </c>
      <c r="E273" s="9" t="str">
        <f>HYPERLINK("https://www8.mpce.mp.br/Empenhos/150001/Objeto/58-2023.pdf","EMPENHO REF. SERVIÇOS DE SUPORTE TÉCNICO DE SISTEMA E TREINAMENTO ESPECÍFICO, CONF. CONTRATO 058/2023 E PROJETO 052/2023/FRMMP, REF. 2024, POR ESTIMATIVA. ")</f>
        <v xml:space="preserve">EMPENHO REF. SERVIÇOS DE SUPORTE TÉCNICO DE SISTEMA E TREINAMENTO ESPECÍFICO, CONF. CONTRATO 058/2023 E PROJETO 052/2023/FRMMP, REF. 2024, POR ESTIMATIVA. </v>
      </c>
      <c r="F273" s="3" t="s">
        <v>120</v>
      </c>
      <c r="G273" s="6" t="str">
        <f>HYPERLINK("http://www8.mpce.mp.br/Empenhos/150501/NE/2024NE000389.pdf","2024NE000389")</f>
        <v>2024NE000389</v>
      </c>
      <c r="H273" s="7">
        <v>251545.76</v>
      </c>
      <c r="I273" s="8" t="s">
        <v>255</v>
      </c>
      <c r="J273" s="12" t="s">
        <v>256</v>
      </c>
    </row>
    <row r="274" spans="1:10" ht="51" x14ac:dyDescent="0.25">
      <c r="A274" s="2" t="s">
        <v>45</v>
      </c>
      <c r="B274" s="3" t="s">
        <v>492</v>
      </c>
      <c r="C274" s="4" t="str">
        <f>HYPERLINK("http://www8.mpce.mp.br/Dispensa/2826420164.pdf","28264/2016-4")</f>
        <v>28264/2016-4</v>
      </c>
      <c r="D274" s="5">
        <v>45406</v>
      </c>
      <c r="E274" s="9" t="str">
        <f>HYPERLINK("https://www8.mpce.mp.br/Empenhos/150001/Objeto/26-2016.pdf","EMPENHO REF. REEMBOLSO DE IPTU DO IMÓVEL SITUADO NA AV. ANTONIO SALES, 1740 - DIONÍSIO TORRES, ONDE FUNCIONAM AS SEDES DOS CENTROS DE APOIO E INVESTIGAÇÃO, REF. 2024 - 3ª PARCELA (MAR/2024).")</f>
        <v>EMPENHO REF. REEMBOLSO DE IPTU DO IMÓVEL SITUADO NA AV. ANTONIO SALES, 1740 - DIONÍSIO TORRES, ONDE FUNCIONAM AS SEDES DOS CENTROS DE APOIO E INVESTIGAÇÃO, REF. 2024 - 3ª PARCELA (MAR/2024).</v>
      </c>
      <c r="F274" s="3" t="s">
        <v>264</v>
      </c>
      <c r="G274" s="6" t="str">
        <f>HYPERLINK("http://www8.mpce.mp.br/Empenhos/150501/NE/2024NE000392.pdf","2024NE000392")</f>
        <v>2024NE000392</v>
      </c>
      <c r="H274" s="7">
        <v>3155.01</v>
      </c>
      <c r="I274" s="8" t="s">
        <v>153</v>
      </c>
      <c r="J274" s="12" t="s">
        <v>154</v>
      </c>
    </row>
    <row r="275" spans="1:10" ht="51" x14ac:dyDescent="0.25">
      <c r="A275" s="2" t="s">
        <v>45</v>
      </c>
      <c r="B275" s="3" t="s">
        <v>493</v>
      </c>
      <c r="C275" s="4" t="str">
        <f>HYPERLINK("http://www8.mpce.mp.br/Dispensa/1721020046.pdf","17210/2004-6")</f>
        <v>17210/2004-6</v>
      </c>
      <c r="D275" s="5">
        <v>45407</v>
      </c>
      <c r="E275" s="9" t="str">
        <f>HYPERLINK("https://www8.mpce.mp.br/Empenhos/150001/Objeto/02-2004.pdf","EMPENHO REF. ALUGUEL DO IMÓVEL SITUADO NA RUA BARÃO DE ARATANHA, 100 - CENTRO, FORTALEZA-CE, ONDE FUNCIONA A SEDE DO DECON-CE, REF. MAI-JUN/2024, POR ESTIMATIVA.")</f>
        <v>EMPENHO REF. ALUGUEL DO IMÓVEL SITUADO NA RUA BARÃO DE ARATANHA, 100 - CENTRO, FORTALEZA-CE, ONDE FUNCIONA A SEDE DO DECON-CE, REF. MAI-JUN/2024, POR ESTIMATIVA.</v>
      </c>
      <c r="F275" s="3" t="s">
        <v>127</v>
      </c>
      <c r="G275" s="6" t="str">
        <f>HYPERLINK("http://www8.mpce.mp.br/Empenhos/150501/NE/2024NE000393.pdf","2024NE000393")</f>
        <v>2024NE000393</v>
      </c>
      <c r="H275" s="7">
        <v>71579.399999999994</v>
      </c>
      <c r="I275" s="8" t="s">
        <v>131</v>
      </c>
      <c r="J275" s="12" t="s">
        <v>132</v>
      </c>
    </row>
    <row r="276" spans="1:10" ht="56.25" x14ac:dyDescent="0.25">
      <c r="A276" s="2" t="s">
        <v>45</v>
      </c>
      <c r="B276" s="3" t="s">
        <v>494</v>
      </c>
      <c r="C276" s="4" t="str">
        <f>HYPERLINK("https://transparencia-area-fim.mpce.mp.br/#/consulta/processo/pastadigital/092022000197876","09.2022.00019787-6")</f>
        <v>09.2022.00019787-6</v>
      </c>
      <c r="D276" s="5">
        <v>45407</v>
      </c>
      <c r="E276" s="9" t="str">
        <f>HYPERLINK("https://www8.mpce.mp.br/Empenhos/150001/Objeto/02-2023.pdf","EMPENHO REF. ALUGUEL DO IMÓVEL ONDE FUNCIONA A SEDE DO NÚCLEO DE MEDIAÇÃO COMUNITÁRIA DO BOM JARDIM, CONF. CONTRATO 002/2023, REF. MAI-JUN/2024, POR ESTIMATIVA.")</f>
        <v>EMPENHO REF. ALUGUEL DO IMÓVEL ONDE FUNCIONA A SEDE DO NÚCLEO DE MEDIAÇÃO COMUNITÁRIA DO BOM JARDIM, CONF. CONTRATO 002/2023, REF. MAI-JUN/2024, POR ESTIMATIVA.</v>
      </c>
      <c r="F276" s="3" t="s">
        <v>127</v>
      </c>
      <c r="G276" s="6" t="str">
        <f>HYPERLINK("http://www8.mpce.mp.br/Empenhos/150501/NE/2024NE000394.pdf","2024NE000394")</f>
        <v>2024NE000394</v>
      </c>
      <c r="H276" s="7">
        <v>11200</v>
      </c>
      <c r="I276" s="8" t="s">
        <v>134</v>
      </c>
      <c r="J276" s="12" t="s">
        <v>135</v>
      </c>
    </row>
    <row r="277" spans="1:10" ht="51" x14ac:dyDescent="0.25">
      <c r="A277" s="2" t="s">
        <v>45</v>
      </c>
      <c r="B277" s="3" t="s">
        <v>495</v>
      </c>
      <c r="C277" s="4" t="str">
        <f>HYPERLINK("https://transparencia-area-fim.mpce.mp.br/#/consulta/processo/pastadigital/092021000079244","09.2021.00007924-4")</f>
        <v>09.2021.00007924-4</v>
      </c>
      <c r="D277" s="5">
        <v>45407</v>
      </c>
      <c r="E277" s="9" t="str">
        <f>HYPERLINK("https://www8.mpce.mp.br/Empenhos/150001/Objeto/27-2021.pdf","EMPENHO REF. ALUGUEL DO IMÓVEL ONDE FUNCIONA A SEDE DAS PROMOTORIAS DE JUSTIÇA DA COMARCA DE EUSÉBIO, CONF. CONTRATO 027/2021,REF. MAI-JUN, POR ESTIMATIVA.")</f>
        <v>EMPENHO REF. ALUGUEL DO IMÓVEL ONDE FUNCIONA A SEDE DAS PROMOTORIAS DE JUSTIÇA DA COMARCA DE EUSÉBIO, CONF. CONTRATO 027/2021,REF. MAI-JUN, POR ESTIMATIVA.</v>
      </c>
      <c r="F277" s="3" t="s">
        <v>127</v>
      </c>
      <c r="G277" s="6" t="str">
        <f>HYPERLINK("http://www8.mpce.mp.br/Empenhos/150501/NE/2024NE000397.pdf","2024NE000397")</f>
        <v>2024NE000397</v>
      </c>
      <c r="H277" s="7">
        <v>11092.2</v>
      </c>
      <c r="I277" s="8" t="s">
        <v>155</v>
      </c>
      <c r="J277" s="12" t="s">
        <v>156</v>
      </c>
    </row>
    <row r="278" spans="1:10" ht="51" x14ac:dyDescent="0.25">
      <c r="A278" s="2" t="s">
        <v>45</v>
      </c>
      <c r="B278" s="3" t="s">
        <v>496</v>
      </c>
      <c r="C278" s="4" t="str">
        <f>HYPERLINK("https://transparencia-area-fim.mpce.mp.br/#/consulta/processo/pastadigital/092021000079244","09.2021.00007924-4")</f>
        <v>09.2021.00007924-4</v>
      </c>
      <c r="D278" s="5">
        <v>45407</v>
      </c>
      <c r="E278" s="9" t="str">
        <f>HYPERLINK("https://www8.mpce.mp.br/Empenhos/150001/Objeto/27-2021.pdf","EMPENHO REF. TAXAS CONDOMINIAIS DO IMÓVEL ONDE FUNCIONA A SEDE DAS PROMOTORIAS DE JUSTIÇA DA COMARCA DE EUSÉBIO, CONF. CONTRATO 027/2021, REF. MAI-JUN, POR ESTIMATIVA.")</f>
        <v>EMPENHO REF. TAXAS CONDOMINIAIS DO IMÓVEL ONDE FUNCIONA A SEDE DAS PROMOTORIAS DE JUSTIÇA DA COMARCA DE EUSÉBIO, CONF. CONTRATO 027/2021, REF. MAI-JUN, POR ESTIMATIVA.</v>
      </c>
      <c r="F278" s="3" t="s">
        <v>242</v>
      </c>
      <c r="G278" s="6" t="str">
        <f>HYPERLINK("http://www8.mpce.mp.br/Empenhos/150501/NE/2024NE000398.pdf","2024NE000398")</f>
        <v>2024NE000398</v>
      </c>
      <c r="H278" s="7">
        <v>2975.76</v>
      </c>
      <c r="I278" s="8" t="s">
        <v>155</v>
      </c>
      <c r="J278" s="12" t="s">
        <v>156</v>
      </c>
    </row>
    <row r="279" spans="1:10" ht="51" x14ac:dyDescent="0.25">
      <c r="A279" s="2" t="s">
        <v>45</v>
      </c>
      <c r="B279" s="3" t="s">
        <v>497</v>
      </c>
      <c r="C279" s="4" t="str">
        <f>HYPERLINK("https://transparencia-area-fim.mpce.mp.br/#/consulta/processo/pastadigital/092021000219739","09.2021.00021973-9")</f>
        <v>09.2021.00021973-9</v>
      </c>
      <c r="D279" s="5">
        <v>45407</v>
      </c>
      <c r="E279" s="9" t="str">
        <f>HYPERLINK("https://www8.mpce.mp.br/Empenhos/150001/Objeto/45-2021.pdf","EMPENHO REF. TAXAS CONDOMINIAIS DE IMÓVEL ONDE FUNCIONA SEDE DE PROMOTORIAS DE JUSTIÇA DA COMARCA DO EUSÉBIO-CE, CONF. CONTRATO 045/2021, REF. MAI-JUN, POR ESTIMATIVA.")</f>
        <v>EMPENHO REF. TAXAS CONDOMINIAIS DE IMÓVEL ONDE FUNCIONA SEDE DE PROMOTORIAS DE JUSTIÇA DA COMARCA DO EUSÉBIO-CE, CONF. CONTRATO 045/2021, REF. MAI-JUN, POR ESTIMATIVA.</v>
      </c>
      <c r="F279" s="3" t="s">
        <v>242</v>
      </c>
      <c r="G279" s="6" t="str">
        <f>HYPERLINK("http://www8.mpce.mp.br/Empenhos/150501/NE/2024NE000399.pdf","2024NE000399")</f>
        <v>2024NE000399</v>
      </c>
      <c r="H279" s="7">
        <v>924.98</v>
      </c>
      <c r="I279" s="8" t="s">
        <v>155</v>
      </c>
      <c r="J279" s="12" t="s">
        <v>156</v>
      </c>
    </row>
    <row r="280" spans="1:10" ht="51" x14ac:dyDescent="0.25">
      <c r="A280" s="2" t="s">
        <v>45</v>
      </c>
      <c r="B280" s="3" t="s">
        <v>498</v>
      </c>
      <c r="C280" s="4" t="str">
        <f>HYPERLINK("http://www8.mpce.mp.br/Dispensa/4503020176.pdf","45030/2017-6")</f>
        <v>45030/2017-6</v>
      </c>
      <c r="D280" s="5">
        <v>45407</v>
      </c>
      <c r="E280" s="9" t="str">
        <f>HYPERLINK("https://www8.mpce.mp.br/Empenhos/150001/Objeto/74-2019.pdf","EMPENHO REF. ALUGUEL DE IMÓVEL ONDE FUNCIONA A SEDE DAS PROMOTORIAS DE JUSTIÇA DA COMARCA DE GRANJA, CONF. CONTRATO 074/2019, REF. MAI-JUN, POR ESTIMATIVA.")</f>
        <v>EMPENHO REF. ALUGUEL DE IMÓVEL ONDE FUNCIONA A SEDE DAS PROMOTORIAS DE JUSTIÇA DA COMARCA DE GRANJA, CONF. CONTRATO 074/2019, REF. MAI-JUN, POR ESTIMATIVA.</v>
      </c>
      <c r="F280" s="3" t="s">
        <v>172</v>
      </c>
      <c r="G280" s="6" t="str">
        <f>HYPERLINK("http://www8.mpce.mp.br/Empenhos/150501/NE/2024NE000401.pdf","2024NE000401")</f>
        <v>2024NE000401</v>
      </c>
      <c r="H280" s="7">
        <v>4376.0200000000004</v>
      </c>
      <c r="I280" s="8" t="s">
        <v>247</v>
      </c>
      <c r="J280" s="12" t="s">
        <v>248</v>
      </c>
    </row>
    <row r="281" spans="1:10" ht="51" x14ac:dyDescent="0.25">
      <c r="A281" s="2" t="s">
        <v>45</v>
      </c>
      <c r="B281" s="3" t="s">
        <v>499</v>
      </c>
      <c r="C281" s="4" t="str">
        <f>HYPERLINK("http://www8.mpce.mp.br/Dispensa/2887720171.pdf","28877/2017-1")</f>
        <v>28877/2017-1</v>
      </c>
      <c r="D281" s="5">
        <v>45408</v>
      </c>
      <c r="E281" s="9" t="str">
        <f>HYPERLINK("https://www8.mpce.mp.br/Empenhos/150001/Objeto/24-2019.pdf","ALUGUEL DO IMÓVEL ONDE FUNCIONA A SEDE DAS PROMOTORIAS DE JUSTIÇA DA COMARCA DE JAGUARIBE, CONF. CONTRATO 024/2019, REF. MAI E JUN/2024, POR ESTIMATIVA.")</f>
        <v>ALUGUEL DO IMÓVEL ONDE FUNCIONA A SEDE DAS PROMOTORIAS DE JUSTIÇA DA COMARCA DE JAGUARIBE, CONF. CONTRATO 024/2019, REF. MAI E JUN/2024, POR ESTIMATIVA.</v>
      </c>
      <c r="F281" s="3" t="s">
        <v>127</v>
      </c>
      <c r="G281" s="6" t="str">
        <f>HYPERLINK("http://www8.mpce.mp.br/Empenhos/150501/NE/2024NE000406.pdf","2024NE000406")</f>
        <v>2024NE000406</v>
      </c>
      <c r="H281" s="7">
        <v>2862.7</v>
      </c>
      <c r="I281" s="8" t="s">
        <v>151</v>
      </c>
      <c r="J281" s="12" t="s">
        <v>152</v>
      </c>
    </row>
    <row r="282" spans="1:10" ht="51" x14ac:dyDescent="0.25">
      <c r="A282" s="2" t="s">
        <v>45</v>
      </c>
      <c r="B282" s="3" t="s">
        <v>500</v>
      </c>
      <c r="C282" s="4" t="str">
        <f>HYPERLINK("http://www8.mpce.mp.br/Dispensa/2004820193.pdf","20048/2019-3")</f>
        <v>20048/2019-3</v>
      </c>
      <c r="D282" s="5">
        <v>45408</v>
      </c>
      <c r="E282" s="9" t="str">
        <f>HYPERLINK("https://www8.mpce.mp.br/Empenhos/150001/Objeto/84-2019.pdf","ALUGUEL DE IMÓVEL ONDE FUNCIONA A SEDE DAS PROMOTORIAS DE JUSTIÇA DA COMARCA DE MOMBAÇA, CONF. CONTRATO 084/2019, REF. MAI E JUN/2024, POR ESTIMATIVA.")</f>
        <v>ALUGUEL DE IMÓVEL ONDE FUNCIONA A SEDE DAS PROMOTORIAS DE JUSTIÇA DA COMARCA DE MOMBAÇA, CONF. CONTRATO 084/2019, REF. MAI E JUN/2024, POR ESTIMATIVA.</v>
      </c>
      <c r="F282" s="3" t="s">
        <v>172</v>
      </c>
      <c r="G282" s="6" t="str">
        <f>HYPERLINK("http://www8.mpce.mp.br/Empenhos/150501/NE/2024NE000410.pdf","2024NE000410")</f>
        <v>2024NE000410</v>
      </c>
      <c r="H282" s="7">
        <v>8000</v>
      </c>
      <c r="I282" s="8" t="s">
        <v>173</v>
      </c>
      <c r="J282" s="12" t="s">
        <v>174</v>
      </c>
    </row>
    <row r="283" spans="1:10" ht="38.25" x14ac:dyDescent="0.25">
      <c r="A283" s="2" t="s">
        <v>45</v>
      </c>
      <c r="B283" s="3" t="s">
        <v>510</v>
      </c>
      <c r="C283" s="4" t="str">
        <f>HYPERLINK("https://transparencia-area-fim.mpce.mp.br/#/consulta/processo/pastadigital/092021000244271","09.2021.00024427-1")</f>
        <v>09.2021.00024427-1</v>
      </c>
      <c r="D283" s="5">
        <v>45412</v>
      </c>
      <c r="E283" s="9" t="str">
        <f>HYPERLINK("https://www8.mpce.mp.br/Empenhos/150001/Objeto/17-2022.pdf","ALUGUEL DO IMÓVEL ONDE FUNCIONAM AS PROMOTORIAS DE JUSTIÇA DA COMARCA DE TIANGUÁ, CONF. CONTRATO Nº 017/2022/PGJ, REF. AOS MESES DE MAIO E JUNHO DE 2024.")</f>
        <v>ALUGUEL DO IMÓVEL ONDE FUNCIONAM AS PROMOTORIAS DE JUSTIÇA DA COMARCA DE TIANGUÁ, CONF. CONTRATO Nº 017/2022/PGJ, REF. AOS MESES DE MAIO E JUNHO DE 2024.</v>
      </c>
      <c r="F283" s="3" t="s">
        <v>127</v>
      </c>
      <c r="G283" s="6" t="str">
        <f>HYPERLINK("http://www8.mpce.mp.br/Empenhos/150501/NE/2024NE000418.pdf","2024NE000418")</f>
        <v>2024NE000418</v>
      </c>
      <c r="H283" s="7">
        <v>52000</v>
      </c>
      <c r="I283" s="8" t="s">
        <v>186</v>
      </c>
      <c r="J283" s="12" t="s">
        <v>187</v>
      </c>
    </row>
    <row r="284" spans="1:10" ht="51" x14ac:dyDescent="0.25">
      <c r="A284" s="2" t="s">
        <v>45</v>
      </c>
      <c r="B284" s="3" t="s">
        <v>357</v>
      </c>
      <c r="C284" s="4" t="str">
        <f>HYPERLINK("https://transparencia-area-fim.mpce.mp.br/#/consulta/processo/pastadigital/092021000219739","09.2021.00021973-9")</f>
        <v>09.2021.00021973-9</v>
      </c>
      <c r="D284" s="5">
        <v>45412</v>
      </c>
      <c r="E284" s="9" t="str">
        <f>HYPERLINK("https://www8.mpce.mp.br/Empenhos/150001/Objeto/45-2021.pdf","EMPENHO REF ALUGUEL DO IMÓVEL ONDE FUNCIONA A SEDE DAS PROMOTORIAS DE JUSTIÇA DA COMARCA DE EUSÉBIO, CONF. CONTRATO 045/2021, REF. MAI E JUN/2024, POR ESTIMATIVA.")</f>
        <v>EMPENHO REF ALUGUEL DO IMÓVEL ONDE FUNCIONA A SEDE DAS PROMOTORIAS DE JUSTIÇA DA COMARCA DE EUSÉBIO, CONF. CONTRATO 045/2021, REF. MAI E JUN/2024, POR ESTIMATIVA.</v>
      </c>
      <c r="F284" s="3" t="s">
        <v>127</v>
      </c>
      <c r="G284" s="6" t="str">
        <f>HYPERLINK("http://www8.mpce.mp.br/Empenhos/150501/NE/2024NE000419.pdf","2024NE000419")</f>
        <v>2024NE000419</v>
      </c>
      <c r="H284" s="7">
        <v>3280.7</v>
      </c>
      <c r="I284" s="8" t="s">
        <v>155</v>
      </c>
      <c r="J284" s="12" t="s">
        <v>156</v>
      </c>
    </row>
    <row r="285" spans="1:10" ht="38.25" x14ac:dyDescent="0.25">
      <c r="A285" s="2" t="s">
        <v>45</v>
      </c>
      <c r="B285" s="3" t="s">
        <v>365</v>
      </c>
      <c r="C285" s="4" t="str">
        <f>HYPERLINK("http://www8.mpce.mp.br/Dispensa/1984020196.pdf","19840/2019-6")</f>
        <v>19840/2019-6</v>
      </c>
      <c r="D285" s="5">
        <v>45412</v>
      </c>
      <c r="E285" s="9" t="str">
        <f>HYPERLINK("https://www8.mpce.mp.br/Empenhos/150001/Objeto/48-2019.pdf","EMPENHO REF. ALUGUEL DO IMÓVEL ONDE FUNCIONA A SEDE DAS PROMOTORIAS DE JUSTIÇA DE CAUCAIA, CONF. CONTRATO 048/2019, REF. MAI E JUN/2024, POR ESTIMATIVA.")</f>
        <v>EMPENHO REF. ALUGUEL DO IMÓVEL ONDE FUNCIONA A SEDE DAS PROMOTORIAS DE JUSTIÇA DE CAUCAIA, CONF. CONTRATO 048/2019, REF. MAI E JUN/2024, POR ESTIMATIVA.</v>
      </c>
      <c r="F285" s="3" t="s">
        <v>127</v>
      </c>
      <c r="G285" s="6" t="str">
        <f>HYPERLINK("http://www8.mpce.mp.br/Empenhos/150501/NE/2024NE000420.pdf","2024NE000420")</f>
        <v>2024NE000420</v>
      </c>
      <c r="H285" s="7">
        <v>91025.54</v>
      </c>
      <c r="I285" s="8" t="s">
        <v>162</v>
      </c>
      <c r="J285" s="12" t="s">
        <v>163</v>
      </c>
    </row>
    <row r="286" spans="1:10" ht="102" x14ac:dyDescent="0.25">
      <c r="A286" s="2" t="s">
        <v>45</v>
      </c>
      <c r="B286" s="3" t="s">
        <v>511</v>
      </c>
      <c r="C286" s="4" t="str">
        <f>HYPERLINK("http://www8.mpce.mp.br/Dispensa/2330020195.pdf","23300/2019-5")</f>
        <v>23300/2019-5</v>
      </c>
      <c r="D286" s="5">
        <v>45412</v>
      </c>
      <c r="E286" s="9" t="s">
        <v>512</v>
      </c>
      <c r="F286" s="3" t="s">
        <v>172</v>
      </c>
      <c r="G286" s="6" t="str">
        <f>HYPERLINK("http://www8.mpce.mp.br/Empenhos/150501/NE/2024NE000422.pdf","2024NE000422")</f>
        <v>2024NE000422</v>
      </c>
      <c r="H286" s="7">
        <v>2800</v>
      </c>
      <c r="I286" s="8" t="s">
        <v>184</v>
      </c>
      <c r="J286" s="12" t="s">
        <v>185</v>
      </c>
    </row>
    <row r="287" spans="1:10" ht="89.25" x14ac:dyDescent="0.25">
      <c r="A287" s="2" t="s">
        <v>45</v>
      </c>
      <c r="B287" s="3" t="s">
        <v>513</v>
      </c>
      <c r="C287" s="4" t="str">
        <f>HYPERLINK("http://www8.mpce.mp.br/Dispensa/4793720162.pdf","4793720162")</f>
        <v>4793720162</v>
      </c>
      <c r="D287" s="5">
        <v>45412</v>
      </c>
      <c r="E287" s="9" t="s">
        <v>514</v>
      </c>
      <c r="F287" s="3" t="s">
        <v>127</v>
      </c>
      <c r="G287" s="6" t="str">
        <f>HYPERLINK("http://www8.mpce.mp.br/Empenhos/150501/NE/2024NE000423.pdf","2024NE000423")</f>
        <v>2024NE000423</v>
      </c>
      <c r="H287" s="7">
        <v>44286.96</v>
      </c>
      <c r="I287" s="8" t="s">
        <v>164</v>
      </c>
      <c r="J287" s="12" t="s">
        <v>165</v>
      </c>
    </row>
    <row r="288" spans="1:10" ht="76.5" x14ac:dyDescent="0.25">
      <c r="A288" s="2" t="s">
        <v>45</v>
      </c>
      <c r="B288" s="3" t="s">
        <v>515</v>
      </c>
      <c r="C288" s="4" t="str">
        <f>HYPERLINK("https://transparencia-area-fim.mpce.mp.br/#/consulta/processo/pastadigital/092024000083927","09.2024.00008392-7")</f>
        <v>09.2024.00008392-7</v>
      </c>
      <c r="D288" s="5">
        <v>45412</v>
      </c>
      <c r="E288" s="9" t="s">
        <v>516</v>
      </c>
      <c r="F288" s="3" t="s">
        <v>127</v>
      </c>
      <c r="G288" s="6" t="str">
        <f>HYPERLINK("http://www8.mpce.mp.br/Empenhos/150501/NE/2024NE000424.pdf","2024NE000424")</f>
        <v>2024NE000424</v>
      </c>
      <c r="H288" s="7">
        <v>117821.94</v>
      </c>
      <c r="I288" s="8" t="s">
        <v>517</v>
      </c>
      <c r="J288" s="12" t="s">
        <v>518</v>
      </c>
    </row>
    <row r="289" spans="1:10" ht="102" x14ac:dyDescent="0.25">
      <c r="A289" s="2" t="s">
        <v>45</v>
      </c>
      <c r="B289" s="3" t="s">
        <v>519</v>
      </c>
      <c r="C289" s="4" t="str">
        <f>HYPERLINK("http://www8.mpce.mp.br/Dispensa/842220170.pdf","8422/20170")</f>
        <v>8422/20170</v>
      </c>
      <c r="D289" s="5">
        <v>45412</v>
      </c>
      <c r="E289" s="9" t="s">
        <v>520</v>
      </c>
      <c r="F289" s="3" t="s">
        <v>127</v>
      </c>
      <c r="G289" s="6" t="str">
        <f>HYPERLINK("http://www8.mpce.mp.br/Empenhos/150501/NE/2024NE000428.pdf","2024NE000428")</f>
        <v>2024NE000428</v>
      </c>
      <c r="H289" s="7">
        <v>117821.94</v>
      </c>
      <c r="I289" s="8" t="s">
        <v>169</v>
      </c>
      <c r="J289" s="12" t="s">
        <v>170</v>
      </c>
    </row>
    <row r="290" spans="1:10" ht="102" x14ac:dyDescent="0.25">
      <c r="A290" s="2" t="s">
        <v>45</v>
      </c>
      <c r="B290" s="3" t="s">
        <v>521</v>
      </c>
      <c r="C290" s="4" t="str">
        <f>HYPERLINK("https://transparencia-area-fim.mpce.mp.br/#/consulta/processo/pastadigital/092021000121226","09.2021.00012122-6")</f>
        <v>09.2021.00012122-6</v>
      </c>
      <c r="D290" s="5">
        <v>45412</v>
      </c>
      <c r="E290" s="9" t="s">
        <v>522</v>
      </c>
      <c r="F290" s="3" t="s">
        <v>172</v>
      </c>
      <c r="G290" s="6" t="str">
        <f>HYPERLINK("http://www8.mpce.mp.br/Empenhos/150501/NE/2024NE000429.pdf","2024NE000429")</f>
        <v>2024NE000429</v>
      </c>
      <c r="H290" s="7">
        <v>5646.54</v>
      </c>
      <c r="I290" s="8" t="s">
        <v>204</v>
      </c>
      <c r="J290" s="12" t="s">
        <v>205</v>
      </c>
    </row>
    <row r="291" spans="1:10" ht="51" x14ac:dyDescent="0.25">
      <c r="A291" s="2" t="s">
        <v>45</v>
      </c>
      <c r="B291" s="3" t="s">
        <v>492</v>
      </c>
      <c r="C291" s="4" t="str">
        <f>HYPERLINK("http://www8.mpce.mp.br/Dispensa/2826420164.pdf","28264/2016-4")</f>
        <v>28264/2016-4</v>
      </c>
      <c r="D291" s="5">
        <v>45412</v>
      </c>
      <c r="E291" s="9" t="str">
        <f>HYPERLINK("https://www8.mpce.mp.br/Empenhos/150001/Objeto/26-2016.pdf","EMPENHO REF. REEMBOLSO DE IPTU DO IMÓVEL SITUADO NA AV. ANTONIO SALES, 1740 - DIONÍSIO TORRES, ONDE FUNCIONAM AS SEDES DOS CENTROS DE APOIO E INVESTIGAÇÃO, REF. 2024 - 4ª PARCELA (ABR/2024).")</f>
        <v>EMPENHO REF. REEMBOLSO DE IPTU DO IMÓVEL SITUADO NA AV. ANTONIO SALES, 1740 - DIONÍSIO TORRES, ONDE FUNCIONAM AS SEDES DOS CENTROS DE APOIO E INVESTIGAÇÃO, REF. 2024 - 4ª PARCELA (ABR/2024).</v>
      </c>
      <c r="F291" s="3" t="s">
        <v>264</v>
      </c>
      <c r="G291" s="6" t="str">
        <f>HYPERLINK("http://www8.mpce.mp.br/Empenhos/150501/NE/2024NE000430.pdf","2024NE000430")</f>
        <v>2024NE000430</v>
      </c>
      <c r="H291" s="7">
        <v>447.85</v>
      </c>
      <c r="I291" s="8" t="s">
        <v>153</v>
      </c>
      <c r="J291" s="12" t="s">
        <v>154</v>
      </c>
    </row>
    <row r="292" spans="1:10" ht="102" x14ac:dyDescent="0.25">
      <c r="A292" s="2" t="s">
        <v>45</v>
      </c>
      <c r="B292" s="3" t="s">
        <v>523</v>
      </c>
      <c r="C292" s="4" t="str">
        <f>HYPERLINK("http://www8.mpce.mp.br/Dispensa/2150720189.pdf","21507/2018-9")</f>
        <v>21507/2018-9</v>
      </c>
      <c r="D292" s="5">
        <v>45412</v>
      </c>
      <c r="E292" s="9" t="s">
        <v>524</v>
      </c>
      <c r="F292" s="3" t="s">
        <v>172</v>
      </c>
      <c r="G292" s="6" t="str">
        <f>HYPERLINK("http://www8.mpce.mp.br/Empenhos/150501/NE/2024NE000431.pdf","2024NE000431")</f>
        <v>2024NE000431</v>
      </c>
      <c r="H292" s="7">
        <v>5871.42</v>
      </c>
      <c r="I292" s="8" t="s">
        <v>190</v>
      </c>
      <c r="J292" s="12" t="s">
        <v>191</v>
      </c>
    </row>
    <row r="293" spans="1:10" ht="51" x14ac:dyDescent="0.25">
      <c r="A293" s="2" t="s">
        <v>45</v>
      </c>
      <c r="B293" s="3" t="s">
        <v>525</v>
      </c>
      <c r="C293" s="4" t="str">
        <f>HYPERLINK("https://transparencia-area-fim.mpce.mp.br/#/consulta/processo/pastadigital/092022000343795","09.2022.00034379-5")</f>
        <v>09.2022.00034379-5</v>
      </c>
      <c r="D293" s="5">
        <v>45412</v>
      </c>
      <c r="E293" s="9" t="str">
        <f>HYPERLINK("https://www8.mpce.mp.br/Empenhos/150001/Objeto/25-2023.pdf","ALUGUEL DO IMÓVEL ONDE FUNCIONA A SEDE DAS PROMOTORIAS DE JUSTIÇA DA COMARCA DE CANINDÉ, CONF. CONTRATO 025/2023, REF. MAIO E JUNHO/2024, POR ESTIMATIVA.")</f>
        <v>ALUGUEL DO IMÓVEL ONDE FUNCIONA A SEDE DAS PROMOTORIAS DE JUSTIÇA DA COMARCA DE CANINDÉ, CONF. CONTRATO 025/2023, REF. MAIO E JUNHO/2024, POR ESTIMATIVA.</v>
      </c>
      <c r="F293" s="3" t="s">
        <v>127</v>
      </c>
      <c r="G293" s="6" t="str">
        <f>HYPERLINK("http://www8.mpce.mp.br/Empenhos/150501/NE/2024NE000432.pdf","2024NE000432")</f>
        <v>2024NE000432</v>
      </c>
      <c r="H293" s="7">
        <v>28000</v>
      </c>
      <c r="I293" s="8" t="s">
        <v>245</v>
      </c>
      <c r="J293" s="12" t="s">
        <v>246</v>
      </c>
    </row>
    <row r="294" spans="1:10" ht="51" x14ac:dyDescent="0.25">
      <c r="A294" s="2" t="s">
        <v>45</v>
      </c>
      <c r="B294" s="3" t="s">
        <v>526</v>
      </c>
      <c r="C294" s="4" t="str">
        <f>HYPERLINK("https://transparencia-area-fim.mpce.mp.br/#/consulta/processo/pastadigital/092021000063220","09.2021.00006322-0")</f>
        <v>09.2021.00006322-0</v>
      </c>
      <c r="D294" s="5">
        <v>45412</v>
      </c>
      <c r="E294" s="9" t="str">
        <f>HYPERLINK("https://www8.mpce.mp.br/Empenhos/150001/Objeto/33-2021.pdf","ALUGUEL DO IMÓVEL ONDE FUNCIONML AS PROMOTORIAS DE JUSTIÇA DA COMARCA DE SOBRAL, EM CONSONÂNCIA COM O CONTRATO Nº 033/2021/PGJ, REF. AOS MESES DE MAIO E JUNHO DE 2024, POR ESTIMATIVA.")</f>
        <v>ALUGUEL DO IMÓVEL ONDE FUNCIONML AS PROMOTORIAS DE JUSTIÇA DA COMARCA DE SOBRAL, EM CONSONÂNCIA COM O CONTRATO Nº 033/2021/PGJ, REF. AOS MESES DE MAIO E JUNHO DE 2024, POR ESTIMATIVA.</v>
      </c>
      <c r="F294" s="3" t="s">
        <v>127</v>
      </c>
      <c r="G294" s="6" t="str">
        <f>HYPERLINK("http://www8.mpce.mp.br/Empenhos/150501/NE/2024NE000433.pdf","2024NE000433")</f>
        <v>2024NE000433</v>
      </c>
      <c r="H294" s="7">
        <v>66800.22</v>
      </c>
      <c r="I294" s="8" t="s">
        <v>145</v>
      </c>
      <c r="J294" s="12" t="s">
        <v>146</v>
      </c>
    </row>
    <row r="295" spans="1:10" ht="51" x14ac:dyDescent="0.25">
      <c r="A295" s="2" t="s">
        <v>45</v>
      </c>
      <c r="B295" s="3" t="s">
        <v>527</v>
      </c>
      <c r="C295" s="4" t="str">
        <f>HYPERLINK("https://transparencia-area-fim.mpce.mp.br/#/consulta/processo/pastadigital/092022000276145","09.2022.00027614-5")</f>
        <v>09.2022.00027614-5</v>
      </c>
      <c r="D295" s="5">
        <v>45412</v>
      </c>
      <c r="E295" s="9" t="str">
        <f>HYPERLINK("https://www8.mpce.mp.br/Empenhos/150001/Objeto/36-2022.pdf","ALUGUEL DO IMÓVEL ONDE FUNCIONAM AS PROMOTORIAS DE JUSTIÇA DA COMARCA DE ARARIPE, EM CONFORMIDADE AO CONTRATO Nº 036/2022/PGJ, REF. MESES DE MAIO E JUNHO DE 2024, POR ESTIMATIVA.")</f>
        <v>ALUGUEL DO IMÓVEL ONDE FUNCIONAM AS PROMOTORIAS DE JUSTIÇA DA COMARCA DE ARARIPE, EM CONFORMIDADE AO CONTRATO Nº 036/2022/PGJ, REF. MESES DE MAIO E JUNHO DE 2024, POR ESTIMATIVA.</v>
      </c>
      <c r="F295" s="3" t="s">
        <v>172</v>
      </c>
      <c r="G295" s="6" t="str">
        <f>HYPERLINK("http://www8.mpce.mp.br/Empenhos/150501/NE/2024NE000434.pdf","2024NE000434")</f>
        <v>2024NE000434</v>
      </c>
      <c r="H295" s="7">
        <v>3000</v>
      </c>
      <c r="I295" s="8" t="s">
        <v>202</v>
      </c>
      <c r="J295" s="12" t="s">
        <v>203</v>
      </c>
    </row>
    <row r="296" spans="1:10" ht="51" x14ac:dyDescent="0.25">
      <c r="A296" s="2" t="s">
        <v>45</v>
      </c>
      <c r="B296" s="3" t="s">
        <v>528</v>
      </c>
      <c r="C296" s="4" t="str">
        <f>HYPERLINK("https://transparencia-area-fim.mpce.mp.br/#/consulta/processo/pastadigital/092022000343818","09.2022.00034381-8")</f>
        <v>09.2022.00034381-8</v>
      </c>
      <c r="D296" s="5">
        <v>45412</v>
      </c>
      <c r="E296" s="9" t="str">
        <f>HYPERLINK("https://www8.mpce.mp.br/Empenhos/150001/Objeto/24-2023.pdf","ALUGUEL DO IMÓVEL ONDE FUNCIONAM AS PROMOTORIAS DE JUSTIÇA DA COMARCA DE ITAPIPOCA, RELATIVO AO CONTRATO Nº 024/2023/PGJ, REF.  MESES DE MAIO E JUNHO DE 2024, POR ESTIMATIVA.")</f>
        <v>ALUGUEL DO IMÓVEL ONDE FUNCIONAM AS PROMOTORIAS DE JUSTIÇA DA COMARCA DE ITAPIPOCA, RELATIVO AO CONTRATO Nº 024/2023/PGJ, REF.  MESES DE MAIO E JUNHO DE 2024, POR ESTIMATIVA.</v>
      </c>
      <c r="F296" s="3" t="s">
        <v>127</v>
      </c>
      <c r="G296" s="6" t="str">
        <f>HYPERLINK("http://www8.mpce.mp.br/Empenhos/150501/NE/2024NE000435.pdf","2024NE000435")</f>
        <v>2024NE000435</v>
      </c>
      <c r="H296" s="7">
        <v>36000</v>
      </c>
      <c r="I296" s="8" t="s">
        <v>251</v>
      </c>
      <c r="J296" s="12" t="s">
        <v>252</v>
      </c>
    </row>
    <row r="297" spans="1:10" ht="51" x14ac:dyDescent="0.25">
      <c r="A297" s="2" t="s">
        <v>45</v>
      </c>
      <c r="B297" s="3" t="s">
        <v>529</v>
      </c>
      <c r="C297" s="4" t="str">
        <f>HYPERLINK("https://transparencia-area-fim.mpce.mp.br/#/consulta/processo/pastadigital/092022000264193","09.2022.00026419-3")</f>
        <v>09.2022.00026419-3</v>
      </c>
      <c r="D297" s="5">
        <v>45412</v>
      </c>
      <c r="E297" s="9" t="str">
        <f>HYPERLINK("https://www8.mpce.mp.br/Empenhos/150001/Objeto/28-2022.pdf","ALUGUEL DO IMÓVEL ONDE FUNCIONAM AS PROMOTORIAS DE JUSTIÇA DA COMARCA DE AURORA, EM CONFORMIDADE AO CONTRATO Nº 028/2022/PGJ, REF AOS MESES DE MAIO E JUNHO DE 2024, POR ESTIMATIVA.")</f>
        <v>ALUGUEL DO IMÓVEL ONDE FUNCIONAM AS PROMOTORIAS DE JUSTIÇA DA COMARCA DE AURORA, EM CONFORMIDADE AO CONTRATO Nº 028/2022/PGJ, REF AOS MESES DE MAIO E JUNHO DE 2024, POR ESTIMATIVA.</v>
      </c>
      <c r="F297" s="3" t="s">
        <v>172</v>
      </c>
      <c r="G297" s="6" t="str">
        <f>HYPERLINK("http://www8.mpce.mp.br/Empenhos/150501/NE/2024NE000436.pdf","2024NE000436")</f>
        <v>2024NE000436</v>
      </c>
      <c r="H297" s="7">
        <v>4000</v>
      </c>
      <c r="I297" s="8" t="s">
        <v>212</v>
      </c>
      <c r="J297" s="12" t="s">
        <v>213</v>
      </c>
    </row>
    <row r="298" spans="1:10" ht="56.25" x14ac:dyDescent="0.25">
      <c r="A298" s="2" t="s">
        <v>45</v>
      </c>
      <c r="B298" s="3" t="s">
        <v>491</v>
      </c>
      <c r="C298" s="4" t="str">
        <f>HYPERLINK("https://transparencia-area-fim.mpce.mp.br/#/consulta/processo/pastadigital/092023000287468","09.2023.00028746-8")</f>
        <v>09.2023.00028746-8</v>
      </c>
      <c r="D298" s="5">
        <v>45412</v>
      </c>
      <c r="E298" s="9" t="str">
        <f>HYPERLINK("https://www8.mpce.mp.br/Empenhos/150001/Objeto/58-2023.pdf","EMPENHO REF. SERVIÇOS DE SUPORTE TÉCNICO DE SISTEMA, CONF. CONTRATO 058/2023 E PROJETO 052/2023/FRMMP, REF. 2024, POR ESTIMATIVA. ")</f>
        <v xml:space="preserve">EMPENHO REF. SERVIÇOS DE SUPORTE TÉCNICO DE SISTEMA, CONF. CONTRATO 058/2023 E PROJETO 052/2023/FRMMP, REF. 2024, POR ESTIMATIVA. </v>
      </c>
      <c r="F298" s="3" t="s">
        <v>262</v>
      </c>
      <c r="G298" s="6" t="str">
        <f>HYPERLINK("http://www8.mpce.mp.br/Empenhos/150501/NE/2024NE000438.pdf","2024NE000438")</f>
        <v>2024NE000438</v>
      </c>
      <c r="H298" s="7">
        <v>268327.5</v>
      </c>
      <c r="I298" s="8" t="s">
        <v>255</v>
      </c>
      <c r="J298" s="12" t="s">
        <v>256</v>
      </c>
    </row>
    <row r="299" spans="1:10" ht="51" x14ac:dyDescent="0.25">
      <c r="A299" s="2" t="s">
        <v>45</v>
      </c>
      <c r="B299" s="3" t="s">
        <v>357</v>
      </c>
      <c r="C299" s="4" t="str">
        <f>HYPERLINK("http://www8.mpce.mp.br/Dispensa/1955220197.pdf","19552/2019-7")</f>
        <v>19552/2019-7</v>
      </c>
      <c r="D299" s="5">
        <v>45414</v>
      </c>
      <c r="E299" s="9" t="str">
        <f>HYPERLINK("https://www8.mpce.mp.br/Empenhos/150001/Objeto/85-2019.pdf","EMPENHO REF. ALUGUEL DO IMÓVEL ONDE FUNCIONA A SEDE DAS PROMOTORIAS DE JUSTIÇA DA COMARCA DE PARAIPABA, CONF. CONTRATO 085/2019, REF. MAI E JUN/2024, POR ESTIMATIVA.")</f>
        <v>EMPENHO REF. ALUGUEL DO IMÓVEL ONDE FUNCIONA A SEDE DAS PROMOTORIAS DE JUSTIÇA DA COMARCA DE PARAIPABA, CONF. CONTRATO 085/2019, REF. MAI E JUN/2024, POR ESTIMATIVA.</v>
      </c>
      <c r="F299" s="3" t="s">
        <v>172</v>
      </c>
      <c r="G299" s="6" t="str">
        <f>HYPERLINK("http://www8.mpce.mp.br/Empenhos/150501/NE/2024NE000440.pdf","2024NE000440")</f>
        <v>2024NE000440</v>
      </c>
      <c r="H299" s="7">
        <v>2613.4</v>
      </c>
      <c r="I299" s="8" t="s">
        <v>197</v>
      </c>
      <c r="J299" s="12" t="s">
        <v>198</v>
      </c>
    </row>
    <row r="300" spans="1:10" ht="51" x14ac:dyDescent="0.25">
      <c r="A300" s="2" t="s">
        <v>45</v>
      </c>
      <c r="B300" s="3" t="s">
        <v>530</v>
      </c>
      <c r="C300" s="4" t="str">
        <f>HYPERLINK("https://transparencia-area-fim.mpce.mp.br/#/consulta/processo/pastadigital/092022000081432","09.2022.00008143-2")</f>
        <v>09.2022.00008143-2</v>
      </c>
      <c r="D300" s="5">
        <v>45414</v>
      </c>
      <c r="E300" s="9" t="str">
        <f>HYPERLINK("https://www8.mpce.mp.br/Empenhos/150001/Objeto/16-2022.pdf","ALUGUEL DO IMÓVEL L ONDE FUNCIONAM AS PROMOTORIAS DE JUSTIÇA DA COMARCA DE BARBALHA, RELATIVO AO CONTRATO Nº 016/2022/PGJ, REF. AOS MESES MAIO E JUNHO DE2024.")</f>
        <v>ALUGUEL DO IMÓVEL L ONDE FUNCIONAM AS PROMOTORIAS DE JUSTIÇA DA COMARCA DE BARBALHA, RELATIVO AO CONTRATO Nº 016/2022/PGJ, REF. AOS MESES MAIO E JUNHO DE2024.</v>
      </c>
      <c r="F300" s="3" t="s">
        <v>127</v>
      </c>
      <c r="G300" s="6" t="str">
        <f>HYPERLINK("http://www8.mpce.mp.br/Empenhos/150501/NE/2024NE000443.pdf","2024NE000443")</f>
        <v>2024NE000443</v>
      </c>
      <c r="H300" s="7">
        <v>32868.519999999997</v>
      </c>
      <c r="I300" s="8" t="s">
        <v>143</v>
      </c>
      <c r="J300" s="12" t="s">
        <v>144</v>
      </c>
    </row>
    <row r="301" spans="1:10" ht="51" x14ac:dyDescent="0.25">
      <c r="A301" s="2" t="s">
        <v>45</v>
      </c>
      <c r="B301" s="3" t="s">
        <v>357</v>
      </c>
      <c r="C301" s="4" t="str">
        <f>HYPERLINK("https://transparencia-area-fim.mpce.mp.br/#/consulta/processo/pastadigital/092021000155016","09.2021.00015501-6")</f>
        <v>09.2021.00015501-6</v>
      </c>
      <c r="D301" s="5">
        <v>45414</v>
      </c>
      <c r="E301" s="9" t="str">
        <f>HYPERLINK("https://www8.mpce.mp.br/Empenhos/150001/Objeto/26-2021.pdf","EMPENHO REF. ALUGUEL DO IMÓVEL ONDE FUNCIONA A SEDE DAS PROMOTORIAS DE JUSTIÇA DA COMARCA DE BREJO SANTO, CONF. CONTRATO 026/2021, REF. MAI E JUN/2024, POR ESTIMATIVA.")</f>
        <v>EMPENHO REF. ALUGUEL DO IMÓVEL ONDE FUNCIONA A SEDE DAS PROMOTORIAS DE JUSTIÇA DA COMARCA DE BREJO SANTO, CONF. CONTRATO 026/2021, REF. MAI E JUN/2024, POR ESTIMATIVA.</v>
      </c>
      <c r="F301" s="3" t="s">
        <v>172</v>
      </c>
      <c r="G301" s="6" t="str">
        <f>HYPERLINK("http://www8.mpce.mp.br/Empenhos/150501/NE/2024NE000444.pdf","2024NE000444")</f>
        <v>2024NE000444</v>
      </c>
      <c r="H301" s="7">
        <v>5203.1000000000004</v>
      </c>
      <c r="I301" s="8" t="s">
        <v>214</v>
      </c>
      <c r="J301" s="12" t="s">
        <v>215</v>
      </c>
    </row>
    <row r="302" spans="1:10" ht="51" x14ac:dyDescent="0.25">
      <c r="A302" s="2" t="s">
        <v>45</v>
      </c>
      <c r="B302" s="3" t="s">
        <v>531</v>
      </c>
      <c r="C302" s="4" t="str">
        <f>HYPERLINK("https://transparencia-area-fim.mpce.mp.br/#/consulta/processo/pastadigital/092022000343840","09.2022.00034384-0")</f>
        <v>09.2022.00034384-0</v>
      </c>
      <c r="D302" s="5">
        <v>45414</v>
      </c>
      <c r="E302" s="9" t="str">
        <f>HYPERLINK("https://www8.mpce.mp.br/Empenhos/150001/Objeto/11-2023.pdf","ALUGUEL DO IMÓVEL  ONDE FUNCIONAM AS PROMOTORIAS DE JUSTIÇA DA COMARCA DE SANTA QUITÉRIA, RELATIVO AO CONTRATO Nº 011/2023/PGJ, REF. AOS MESES MAIO E JUNHO DE2024")</f>
        <v>ALUGUEL DO IMÓVEL  ONDE FUNCIONAM AS PROMOTORIAS DE JUSTIÇA DA COMARCA DE SANTA QUITÉRIA, RELATIVO AO CONTRATO Nº 011/2023/PGJ, REF. AOS MESES MAIO E JUNHO DE2024</v>
      </c>
      <c r="F302" s="3" t="s">
        <v>127</v>
      </c>
      <c r="G302" s="6" t="str">
        <f>HYPERLINK("http://www8.mpce.mp.br/Empenhos/150501/NE/2024NE000445.pdf","2024NE000445")</f>
        <v>2024NE000445</v>
      </c>
      <c r="H302" s="7">
        <v>26400</v>
      </c>
      <c r="I302" s="8" t="s">
        <v>249</v>
      </c>
      <c r="J302" s="12" t="s">
        <v>250</v>
      </c>
    </row>
    <row r="303" spans="1:10" ht="51" x14ac:dyDescent="0.25">
      <c r="A303" s="2" t="s">
        <v>45</v>
      </c>
      <c r="B303" s="3" t="s">
        <v>532</v>
      </c>
      <c r="C303" s="4" t="str">
        <f>HYPERLINK("https://transparencia-area-fim.mpce.mp.br/#/consulta/processo/pastadigital/092021000065217","09.2021.00006521-7")</f>
        <v>09.2021.00006521-7</v>
      </c>
      <c r="D303" s="5">
        <v>45415</v>
      </c>
      <c r="E303" s="9" t="str">
        <f>HYPERLINK("https://www8.mpce.mp.br/Empenhos/150001/Objeto/38-2021.pdf","ALUGUEL, REF. AO IMÓVEL ONDE FUNCIONAM AS PROMOTORIAS DE JUSTIÇA DA COMARCA DE TAUÁ, CONF. CONTRATO 038/2021/PGJ, RELATIVOS AOS MESES DE ABRIL, MAIO E JUNHO DE 2024.")</f>
        <v>ALUGUEL, REF. AO IMÓVEL ONDE FUNCIONAM AS PROMOTORIAS DE JUSTIÇA DA COMARCA DE TAUÁ, CONF. CONTRATO 038/2021/PGJ, RELATIVOS AOS MESES DE ABRIL, MAIO E JUNHO DE 2024.</v>
      </c>
      <c r="F303" s="3" t="s">
        <v>127</v>
      </c>
      <c r="G303" s="6" t="str">
        <f>HYPERLINK("http://www8.mpce.mp.br/Empenhos/150501/NE/2024NE000448.pdf","2024NE000448")</f>
        <v>2024NE000448</v>
      </c>
      <c r="H303" s="7">
        <v>54000</v>
      </c>
      <c r="I303" s="8" t="s">
        <v>157</v>
      </c>
      <c r="J303" s="12" t="s">
        <v>158</v>
      </c>
    </row>
    <row r="304" spans="1:10" ht="56.25" x14ac:dyDescent="0.25">
      <c r="A304" s="2" t="s">
        <v>20</v>
      </c>
      <c r="B304" s="3" t="s">
        <v>533</v>
      </c>
      <c r="C304" s="4" t="str">
        <f>HYPERLINK("https://transparencia-area-fim.mpce.mp.br/#/consulta/processo/pastadigital/092022000409094","09.2022.00040909-4")</f>
        <v>09.2022.00040909-4</v>
      </c>
      <c r="D304" s="5">
        <v>45415</v>
      </c>
      <c r="E304" s="9" t="str">
        <f>HYPERLINK("https://www8.mpce.mp.br/Empenhos/150001/Objeto/41-2023.pdf","EMPENHO REF. ALUGUEL DE IMÓVEL ONDE FUNCIONA A SEDE DE PROMOTORIAS DE JUSTIÇA DE GUARACIABA DO NORTE, CONF. CONTRATO 041/2023, REF. MAI-JUN, POR ESTIMATIVA.")</f>
        <v>EMPENHO REF. ALUGUEL DE IMÓVEL ONDE FUNCIONA A SEDE DE PROMOTORIAS DE JUSTIÇA DE GUARACIABA DO NORTE, CONF. CONTRATO 041/2023, REF. MAI-JUN, POR ESTIMATIVA.</v>
      </c>
      <c r="F304" s="3" t="s">
        <v>172</v>
      </c>
      <c r="G304" s="6" t="str">
        <f>HYPERLINK("http://www8.mpce.mp.br/Empenhos/150501/NE/2024NE000449.pdf","2024NE000449")</f>
        <v>2024NE000449</v>
      </c>
      <c r="H304" s="7">
        <v>3100</v>
      </c>
      <c r="I304" s="8" t="s">
        <v>195</v>
      </c>
      <c r="J304" s="12" t="s">
        <v>196</v>
      </c>
    </row>
    <row r="305" spans="1:10" ht="38.25" x14ac:dyDescent="0.25">
      <c r="A305" s="2" t="s">
        <v>45</v>
      </c>
      <c r="B305" s="3" t="s">
        <v>534</v>
      </c>
      <c r="C305" s="4" t="str">
        <f>HYPERLINK("https://transparencia-area-fim.mpce.mp.br/#/consulta/processo/pastadigital/092022000110511","09.2022.00011051-1")</f>
        <v>09.2022.00011051-1</v>
      </c>
      <c r="D305" s="5">
        <v>45415</v>
      </c>
      <c r="E305" s="9" t="str">
        <f>HYPERLINK("https://www8.mpce.mp.br/Empenhos/150001/Objeto/38-2022.pdf","ALUGUEL DO IMÓVEL ONDE FUNCIONAM AS PROMOTORIAS DE JUSTIÇA DE NOVA OLINDA, CONF. CONTRATO 038/2022/PGJ, REF. AOS MESES DE MAIO E JUNHO DE 2024.")</f>
        <v>ALUGUEL DO IMÓVEL ONDE FUNCIONAM AS PROMOTORIAS DE JUSTIÇA DE NOVA OLINDA, CONF. CONTRATO 038/2022/PGJ, REF. AOS MESES DE MAIO E JUNHO DE 2024.</v>
      </c>
      <c r="F305" s="3" t="s">
        <v>172</v>
      </c>
      <c r="G305" s="6" t="str">
        <f>HYPERLINK("http://www8.mpce.mp.br/Empenhos/150501/NE/2024NE000450.pdf","2024NE000450")</f>
        <v>2024NE000450</v>
      </c>
      <c r="H305" s="7">
        <v>4000</v>
      </c>
      <c r="I305" s="8" t="s">
        <v>240</v>
      </c>
      <c r="J305" s="12" t="s">
        <v>241</v>
      </c>
    </row>
    <row r="306" spans="1:10" ht="56.25" x14ac:dyDescent="0.25">
      <c r="A306" s="2" t="s">
        <v>20</v>
      </c>
      <c r="B306" s="3" t="s">
        <v>535</v>
      </c>
      <c r="C306" s="4" t="str">
        <f>HYPERLINK("https://transparencia-area-fim.mpce.mp.br/#/consulta/processo/pastadigital/092023000214163","09.2023.00021416-3")</f>
        <v>09.2023.00021416-3</v>
      </c>
      <c r="D306" s="5">
        <v>45415</v>
      </c>
      <c r="E306" s="9" t="str">
        <f>HYPERLINK("https://www8.mpce.mp.br/Empenhos/150001/Objeto/56-2023.pdf","EMPENHO REF. ALUGUEL DO IMÓVEL ONDE FUNCIONA A SEDE DAS PROMOTORIAS DE JUSTIÇA DA COMARCA DE BATURITÉ, CONF. CONTRATO 056/2023, REF. MAI E JUN/2024, POR ESTIMATIVA.")</f>
        <v>EMPENHO REF. ALUGUEL DO IMÓVEL ONDE FUNCIONA A SEDE DAS PROMOTORIAS DE JUSTIÇA DA COMARCA DE BATURITÉ, CONF. CONTRATO 056/2023, REF. MAI E JUN/2024, POR ESTIMATIVA.</v>
      </c>
      <c r="F306" s="3" t="s">
        <v>127</v>
      </c>
      <c r="G306" s="6" t="str">
        <f>HYPERLINK("http://www8.mpce.mp.br/Empenhos/150501/NE/2024NE000451.pdf","2024NE000451")</f>
        <v>2024NE000451</v>
      </c>
      <c r="H306" s="7">
        <v>10800</v>
      </c>
      <c r="I306" s="8" t="s">
        <v>167</v>
      </c>
      <c r="J306" s="12" t="s">
        <v>168</v>
      </c>
    </row>
    <row r="307" spans="1:10" ht="51" x14ac:dyDescent="0.25">
      <c r="A307" s="2" t="s">
        <v>20</v>
      </c>
      <c r="B307" s="3" t="s">
        <v>536</v>
      </c>
      <c r="C307" s="4" t="str">
        <f>HYPERLINK("https://transparencia-area-fim.mpce.mp.br/#/consulta/processo/pastadigital/092023000214163","09.2023.00021416-3")</f>
        <v>09.2023.00021416-3</v>
      </c>
      <c r="D307" s="5">
        <v>45415</v>
      </c>
      <c r="E307" s="9" t="str">
        <f>HYPERLINK("https://www8.mpce.mp.br/Empenhos/150001/Objeto/56-2023.pdf","ALUGUEL REF. AO IMÓVEL ONDE FUNCIONAM AS PROMOTORIAS DE JUSTIÇA DA COMARCA DE BATURITÉ, CONF. CONTRATO Nº 056/2023/PGJ, DOS MESES DE MAIO E JUNHO DE 2024.")</f>
        <v>ALUGUEL REF. AO IMÓVEL ONDE FUNCIONAM AS PROMOTORIAS DE JUSTIÇA DA COMARCA DE BATURITÉ, CONF. CONTRATO Nº 056/2023/PGJ, DOS MESES DE MAIO E JUNHO DE 2024.</v>
      </c>
      <c r="F307" s="3" t="s">
        <v>127</v>
      </c>
      <c r="G307" s="6" t="str">
        <f>HYPERLINK("http://www8.mpce.mp.br/Empenhos/150501/NE/2024NE000452.pdf","2024NE000452")</f>
        <v>2024NE000452</v>
      </c>
      <c r="H307" s="7">
        <v>10800</v>
      </c>
      <c r="I307" s="8" t="s">
        <v>167</v>
      </c>
      <c r="J307" s="12" t="s">
        <v>168</v>
      </c>
    </row>
    <row r="308" spans="1:10" ht="51" x14ac:dyDescent="0.25">
      <c r="A308" s="2" t="s">
        <v>45</v>
      </c>
      <c r="B308" s="3" t="s">
        <v>357</v>
      </c>
      <c r="C308" s="4" t="str">
        <f>HYPERLINK("https://transparencia-area-fim.mpce.mp.br/#/consulta/processo/pastadigital/092021000064195","09.2021.00006419-5")</f>
        <v>09.2021.00006419-5</v>
      </c>
      <c r="D308" s="5">
        <v>45415</v>
      </c>
      <c r="E308" s="9" t="str">
        <f>HYPERLINK("https://www8.mpce.mp.br/Empenhos/150001/Objeto/41-2021.pdf","EMPENHO REF. ALUGUEL DO IMÓVEL ONDE FUNCIONA A SEDE DAS PROMOTORIAS DE JUSTIÇA DA COMARCA DE QUIXADÁ, CONF. CONTRATO 041/2021, REF. MAI E JUN/2024, POR ESTIMATIVA.")</f>
        <v>EMPENHO REF. ALUGUEL DO IMÓVEL ONDE FUNCIONA A SEDE DAS PROMOTORIAS DE JUSTIÇA DA COMARCA DE QUIXADÁ, CONF. CONTRATO 041/2021, REF. MAI E JUN/2024, POR ESTIMATIVA.</v>
      </c>
      <c r="F308" s="3" t="s">
        <v>127</v>
      </c>
      <c r="G308" s="6" t="str">
        <f>HYPERLINK("http://www8.mpce.mp.br/Empenhos/150501/NE/2024NE000454.pdf","2024NE000454")</f>
        <v>2024NE000454</v>
      </c>
      <c r="H308" s="7">
        <v>37800</v>
      </c>
      <c r="I308" s="8" t="s">
        <v>140</v>
      </c>
      <c r="J308" s="12" t="s">
        <v>141</v>
      </c>
    </row>
    <row r="309" spans="1:10" ht="38.25" x14ac:dyDescent="0.25">
      <c r="A309" s="2" t="s">
        <v>20</v>
      </c>
      <c r="B309" s="3" t="s">
        <v>395</v>
      </c>
      <c r="C309" s="4" t="str">
        <f>HYPERLINK("https://transparencia-area-fim.mpce.mp.br/#/consulta/processo/pastadigital/092022000426227","09.2022.00042622-7")</f>
        <v>09.2022.00042622-7</v>
      </c>
      <c r="D309" s="5">
        <v>45415</v>
      </c>
      <c r="E309" s="9" t="str">
        <f>HYPERLINK("https://www8.mpce.mp.br/Empenhos/150001/Objeto/33-2023.pdf","ALUGUEL DO IMÓVEL ONDE FUNCIONAM AS PROMOTORIAS DE JUSTIÇA DA COMARCA DE JUCÁS, CONF. CONTRATO Nº 033/2023/PGJ, REF, AOS MESES DE MAIO E JUNHO DE 2024.")</f>
        <v>ALUGUEL DO IMÓVEL ONDE FUNCIONAM AS PROMOTORIAS DE JUSTIÇA DA COMARCA DE JUCÁS, CONF. CONTRATO Nº 033/2023/PGJ, REF, AOS MESES DE MAIO E JUNHO DE 2024.</v>
      </c>
      <c r="F309" s="3" t="s">
        <v>172</v>
      </c>
      <c r="G309" s="6" t="str">
        <f>HYPERLINK("http://www8.mpce.mp.br/Empenhos/150501/NE/2024NE000455.pdf","2024NE000455")</f>
        <v>2024NE000455</v>
      </c>
      <c r="H309" s="7">
        <v>5000</v>
      </c>
      <c r="I309" s="8" t="s">
        <v>206</v>
      </c>
      <c r="J309" s="12" t="s">
        <v>207</v>
      </c>
    </row>
    <row r="310" spans="1:10" ht="51" x14ac:dyDescent="0.25">
      <c r="A310" s="2" t="s">
        <v>45</v>
      </c>
      <c r="B310" s="3" t="s">
        <v>357</v>
      </c>
      <c r="C310" s="4" t="str">
        <f>HYPERLINK("https://transparencia-area-fim.mpce.mp.br/#/consulta/processo/pastadigital/092021000244582","09.2021.00024458-2")</f>
        <v>09.2021.00024458-2</v>
      </c>
      <c r="D310" s="5">
        <v>45415</v>
      </c>
      <c r="E310" s="9" t="str">
        <f>HYPERLINK("https://www8.mpce.mp.br/Empenhos/150001/Objeto/11-2022.pdf","EMPENHO REF. ALUGUEL DO IMÓVEL ONDE FUNCIONA A SEDE DAS PROMOTORIAS DE JUSTIÇA DA COMARCA DE ARACATI, CONF. CONTRATO 011/2022, REF. MAI E JUN/2024, POR ESTIMATIVA.")</f>
        <v>EMPENHO REF. ALUGUEL DO IMÓVEL ONDE FUNCIONA A SEDE DAS PROMOTORIAS DE JUSTIÇA DA COMARCA DE ARACATI, CONF. CONTRATO 011/2022, REF. MAI E JUN/2024, POR ESTIMATIVA.</v>
      </c>
      <c r="F310" s="3" t="s">
        <v>127</v>
      </c>
      <c r="G310" s="6" t="str">
        <f>HYPERLINK("http://www8.mpce.mp.br/Empenhos/150501/NE/2024NE000456.pdf","2024NE000456")</f>
        <v>2024NE000456</v>
      </c>
      <c r="H310" s="7">
        <v>36930</v>
      </c>
      <c r="I310" s="8" t="s">
        <v>182</v>
      </c>
      <c r="J310" s="12" t="s">
        <v>183</v>
      </c>
    </row>
    <row r="311" spans="1:10" ht="51" x14ac:dyDescent="0.25">
      <c r="A311" s="2" t="s">
        <v>45</v>
      </c>
      <c r="B311" s="3" t="s">
        <v>357</v>
      </c>
      <c r="C311" s="4" t="str">
        <f>HYPERLINK("https://transparencia-area-fim.mpce.mp.br/#/consulta/processo/pastadigital/092021000244449","09.2021.00024444-9")</f>
        <v>09.2021.00024444-9</v>
      </c>
      <c r="D311" s="5">
        <v>45415</v>
      </c>
      <c r="E311" s="9" t="str">
        <f>HYPERLINK("https://www8.mpce.mp.br/Empenhos/150001/Objeto/12-2022.pdf","EMPENHO REF. ALUGUEL DO IMÓVEL ONDE FUNCIONA A SEDE DAS PROMOTORIAS DE JUSTIÇA DA COMARCA DE RUSSAS-CE, CONF. CONTRATO 012/2022, REF. MAI E JUN/2024, POR ESTIMATIVA.")</f>
        <v>EMPENHO REF. ALUGUEL DO IMÓVEL ONDE FUNCIONA A SEDE DAS PROMOTORIAS DE JUSTIÇA DA COMARCA DE RUSSAS-CE, CONF. CONTRATO 012/2022, REF. MAI E JUN/2024, POR ESTIMATIVA.</v>
      </c>
      <c r="F311" s="3" t="s">
        <v>127</v>
      </c>
      <c r="G311" s="6" t="str">
        <f>HYPERLINK("http://www8.mpce.mp.br/Empenhos/150501/NE/2024NE000457.pdf","2024NE000457")</f>
        <v>2024NE000457</v>
      </c>
      <c r="H311" s="7">
        <v>41800</v>
      </c>
      <c r="I311" s="8" t="s">
        <v>140</v>
      </c>
      <c r="J311" s="12" t="s">
        <v>141</v>
      </c>
    </row>
    <row r="312" spans="1:10" ht="51" x14ac:dyDescent="0.25">
      <c r="A312" s="2" t="s">
        <v>45</v>
      </c>
      <c r="B312" s="3" t="s">
        <v>537</v>
      </c>
      <c r="C312" s="4" t="str">
        <f>HYPERLINK("http://www8.mpce.mp.br/Dispensa/1320920133.pdf","13209/2013-3")</f>
        <v>13209/2013-3</v>
      </c>
      <c r="D312" s="5">
        <v>45415</v>
      </c>
      <c r="E312" s="9" t="str">
        <f>HYPERLINK("https://www8.mpce.mp.br/Empenhos/150001/Objeto/43-2013.pdf","ALUGUEL DO IMÓVEL ONDE FUNCIONAM AS PROMOTORIAS DE JUSTIÇA DA COMARCA DE MORADA NOVA, CONF. CONTRATO Nº 043/2013/CPL/PGJ, REF, AOS MESES DE MAIO E JUNHO DE 2024.")</f>
        <v>ALUGUEL DO IMÓVEL ONDE FUNCIONAM AS PROMOTORIAS DE JUSTIÇA DA COMARCA DE MORADA NOVA, CONF. CONTRATO Nº 043/2013/CPL/PGJ, REF, AOS MESES DE MAIO E JUNHO DE 2024.</v>
      </c>
      <c r="F312" s="3" t="s">
        <v>172</v>
      </c>
      <c r="G312" s="6" t="str">
        <f>HYPERLINK("http://www8.mpce.mp.br/Empenhos/150501/NE/2024NE000458.pdf","2024NE000458")</f>
        <v>2024NE000458</v>
      </c>
      <c r="H312" s="7">
        <v>16300.56</v>
      </c>
      <c r="I312" s="8" t="s">
        <v>188</v>
      </c>
      <c r="J312" s="12" t="s">
        <v>189</v>
      </c>
    </row>
    <row r="313" spans="1:10" ht="56.25" x14ac:dyDescent="0.25">
      <c r="A313" s="2" t="s">
        <v>45</v>
      </c>
      <c r="B313" s="3" t="s">
        <v>538</v>
      </c>
      <c r="C313" s="4" t="str">
        <f>HYPERLINK("https://transparencia-area-fim.mpce.mp.br/#/consulta/processo/pastadigital/092022000343751","09.2022.00034375-1")</f>
        <v>09.2022.00034375-1</v>
      </c>
      <c r="D313" s="5">
        <v>45415</v>
      </c>
      <c r="E313" s="9" t="str">
        <f>HYPERLINK("https://www8.mpce.mp.br/Empenhos/150001/Objeto/08-2023.pdf","EMPENHO REF. ALUGUEL DE IMÓVEL ONDE FUNCIONA A SEDE DE PROMOTORIAS DE JUSTIÇA DE QUIXERAMOBIM, CONF. CONTRATO 008/2023, REF. MAI E JUN, POR ESTIMATIVA.")</f>
        <v>EMPENHO REF. ALUGUEL DE IMÓVEL ONDE FUNCIONA A SEDE DE PROMOTORIAS DE JUSTIÇA DE QUIXERAMOBIM, CONF. CONTRATO 008/2023, REF. MAI E JUN, POR ESTIMATIVA.</v>
      </c>
      <c r="F313" s="3" t="s">
        <v>127</v>
      </c>
      <c r="G313" s="6" t="str">
        <f>HYPERLINK("http://www8.mpce.mp.br/Empenhos/150501/NE/2024NE000459.pdf","2024NE000459")</f>
        <v>2024NE000459</v>
      </c>
      <c r="H313" s="7">
        <v>28360</v>
      </c>
      <c r="I313" s="8" t="s">
        <v>140</v>
      </c>
      <c r="J313" s="12" t="s">
        <v>141</v>
      </c>
    </row>
    <row r="314" spans="1:10" ht="127.5" x14ac:dyDescent="0.25">
      <c r="A314" s="2" t="s">
        <v>45</v>
      </c>
      <c r="B314" s="3" t="s">
        <v>539</v>
      </c>
      <c r="C314" s="4" t="str">
        <f>HYPERLINK("http://www8.mpce.mp.br/Dispensa/6795020160.pdf","6795020160")</f>
        <v>6795020160</v>
      </c>
      <c r="D314" s="5">
        <v>45415</v>
      </c>
      <c r="E314" s="9" t="s">
        <v>540</v>
      </c>
      <c r="F314" s="3" t="s">
        <v>172</v>
      </c>
      <c r="G314" s="6" t="str">
        <f>HYPERLINK("http://www8.mpce.mp.br/Empenhos/150501/NE/2024NE000460.pdf","2024NE000460")</f>
        <v>2024NE000460</v>
      </c>
      <c r="H314" s="7">
        <v>1360.06</v>
      </c>
      <c r="I314" s="8" t="s">
        <v>230</v>
      </c>
      <c r="J314" s="12" t="s">
        <v>231</v>
      </c>
    </row>
    <row r="315" spans="1:10" ht="67.5" x14ac:dyDescent="0.25">
      <c r="A315" s="2" t="s">
        <v>45</v>
      </c>
      <c r="B315" s="3" t="s">
        <v>541</v>
      </c>
      <c r="C315" s="4" t="str">
        <f>HYPERLINK("https://transparencia-area-fim.mpce.mp.br/#/consulta/processo/pastadigital/092022000230870","09.2022.00023087-0")</f>
        <v>09.2022.00023087-0</v>
      </c>
      <c r="D315" s="5">
        <v>45418</v>
      </c>
      <c r="E315" s="9" t="str">
        <f>HYPERLINK("https://www8.mpce.mp.br/Empenhos/150001/Objeto/29-2022.pdf","EMPENHO REF. REEMBOLSO DE IPTU DE IMÓVEL ONDE FUNCIONA A SEDE DE PROMOTORIAS DE JUSTIÇA DE JUAZEIRO DO NORTE, CONF. CONTRATO 029/2022, REF. 2024 - PARCELA ÚNICA.")</f>
        <v>EMPENHO REF. REEMBOLSO DE IPTU DE IMÓVEL ONDE FUNCIONA A SEDE DE PROMOTORIAS DE JUSTIÇA DE JUAZEIRO DO NORTE, CONF. CONTRATO 029/2022, REF. 2024 - PARCELA ÚNICA.</v>
      </c>
      <c r="F315" s="3" t="s">
        <v>264</v>
      </c>
      <c r="G315" s="6" t="str">
        <f>HYPERLINK("http://www8.mpce.mp.br/Empenhos/150501/NE/2024NE000462.pdf","2024NE000462")</f>
        <v>2024NE000462</v>
      </c>
      <c r="H315" s="7">
        <v>5911.33</v>
      </c>
      <c r="I315" s="8" t="s">
        <v>143</v>
      </c>
      <c r="J315" s="12" t="s">
        <v>144</v>
      </c>
    </row>
    <row r="316" spans="1:10" ht="51" x14ac:dyDescent="0.25">
      <c r="A316" s="2" t="s">
        <v>45</v>
      </c>
      <c r="B316" s="3" t="s">
        <v>542</v>
      </c>
      <c r="C316" s="4" t="str">
        <f>HYPERLINK("http://www8.mpce.mp.br/Dispensa/3642820165.pdf","36428/2016-5")</f>
        <v>36428/2016-5</v>
      </c>
      <c r="D316" s="5">
        <v>45420</v>
      </c>
      <c r="E316" s="9" t="str">
        <f>HYPERLINK("https://www8.mpce.mp.br/Empenhos/150001/Objeto/26-2017.pdf","REFERENTE AO IMÓVEL ONDE FUNCIONAM AS PROMOTORIAS DE JUSTIÇA DA COMARCA DE MARANGUAPE, RELATIVO AO CONTRATO Nº 026/2017/PGJ, DOS MESES DE MAIO E JUNHO DE 2024.")</f>
        <v>REFERENTE AO IMÓVEL ONDE FUNCIONAM AS PROMOTORIAS DE JUSTIÇA DA COMARCA DE MARANGUAPE, RELATIVO AO CONTRATO Nº 026/2017/PGJ, DOS MESES DE MAIO E JUNHO DE 2024.</v>
      </c>
      <c r="F316" s="3" t="s">
        <v>172</v>
      </c>
      <c r="G316" s="6" t="str">
        <f>HYPERLINK("http://www8.mpce.mp.br/Empenhos/150501/NE/2024NE000469.pdf","2024NE000469")</f>
        <v>2024NE000469</v>
      </c>
      <c r="H316" s="7">
        <v>11036.3</v>
      </c>
      <c r="I316" s="8" t="s">
        <v>216</v>
      </c>
      <c r="J316" s="12" t="s">
        <v>217</v>
      </c>
    </row>
    <row r="317" spans="1:10" ht="78.75" x14ac:dyDescent="0.25">
      <c r="A317" s="2" t="s">
        <v>20</v>
      </c>
      <c r="B317" s="3" t="s">
        <v>543</v>
      </c>
      <c r="C317" s="4" t="str">
        <f>HYPERLINK("https://transparencia-area-fim.mpce.mp.br/#/consulta/processo/pastadigital/092023000385590","09.2023.00038559-0")</f>
        <v>09.2023.00038559-0</v>
      </c>
      <c r="D317" s="5">
        <v>45420</v>
      </c>
      <c r="E317" s="9" t="str">
        <f>HYPERLINK("https://www8.mpce.mp.br/Empenhos/150001/Objeto/25-2024.pdf","EMPENHO REF. LICENÇAS DE ACESSO À PLATAFORMA WELLZ E À PLATAFORMA GYMPASS, PARA MEMBROS E SERVIDORES DO MPCE, CONF. CONTRATO 025/2024 E OS 004/2024/SEGEP, REF. ABR, MAI E JUN/2024, POR ESTIMATIVA.")</f>
        <v>EMPENHO REF. LICENÇAS DE ACESSO À PLATAFORMA WELLZ E À PLATAFORMA GYMPASS, PARA MEMBROS E SERVIDORES DO MPCE, CONF. CONTRATO 025/2024 E OS 004/2024/SEGEP, REF. ABR, MAI E JUN/2024, POR ESTIMATIVA.</v>
      </c>
      <c r="F317" s="3" t="s">
        <v>120</v>
      </c>
      <c r="G317" s="6" t="str">
        <f>HYPERLINK("http://www8.mpce.mp.br/Empenhos/150501/NE/2024NE000470.pdf","2024NE000470")</f>
        <v>2024NE000470</v>
      </c>
      <c r="H317" s="7">
        <v>161000</v>
      </c>
      <c r="I317" s="8" t="s">
        <v>544</v>
      </c>
      <c r="J317" s="12" t="s">
        <v>545</v>
      </c>
    </row>
    <row r="318" spans="1:10" ht="63.75" x14ac:dyDescent="0.25">
      <c r="A318" s="2" t="s">
        <v>45</v>
      </c>
      <c r="B318" s="3" t="s">
        <v>546</v>
      </c>
      <c r="C318" s="4" t="str">
        <f>HYPERLINK("http://www8.mpce.mp.br/Dispensa/575920103.pdf","5759/2010-3")</f>
        <v>5759/2010-3</v>
      </c>
      <c r="D318" s="5">
        <v>45421</v>
      </c>
      <c r="E318" s="9" t="str">
        <f>HYPERLINK("https://www8.mpce.mp.br/Empenhos/150001/Objeto/22-2010.pdf","IPTU REFERENTE À PARCELA ÚNICA DE 2024, RELATIVO AO IMÓVEL ONDE FUNCIONAM AS PROMOTORIAS DE JUSTIÇA DE GUAIÚBA, LOCALIZADA À RUA PADRE AUGUSTO, Nº 185, CENTRO, GUAIÚBA-CE, CONF. CONTRATO Nº 022/2010/CPL/PGJ")</f>
        <v>IPTU REFERENTE À PARCELA ÚNICA DE 2024, RELATIVO AO IMÓVEL ONDE FUNCIONAM AS PROMOTORIAS DE JUSTIÇA DE GUAIÚBA, LOCALIZADA À RUA PADRE AUGUSTO, Nº 185, CENTRO, GUAIÚBA-CE, CONF. CONTRATO Nº 022/2010/CPL/PGJ</v>
      </c>
      <c r="F318" s="3" t="s">
        <v>234</v>
      </c>
      <c r="G318" s="6" t="str">
        <f>HYPERLINK("http://www8.mpce.mp.br/Empenhos/150501/NE/2024NE000472.pdf","2024NE000472")</f>
        <v>2024NE000472</v>
      </c>
      <c r="H318" s="7">
        <v>46.43</v>
      </c>
      <c r="I318" s="8" t="s">
        <v>222</v>
      </c>
      <c r="J318" s="12" t="s">
        <v>223</v>
      </c>
    </row>
    <row r="319" spans="1:10" ht="51" x14ac:dyDescent="0.25">
      <c r="A319" s="2" t="s">
        <v>45</v>
      </c>
      <c r="B319" s="3" t="s">
        <v>547</v>
      </c>
      <c r="C319" s="4" t="str">
        <f>HYPERLINK("https://transparencia-area-fim.mpce.mp.br/#/consulta/processo/pastadigital/092021000047808","09.2021.00004780-8")</f>
        <v>09.2021.00004780-8</v>
      </c>
      <c r="D319" s="5">
        <v>45421</v>
      </c>
      <c r="E319" s="9" t="str">
        <f>HYPERLINK("https://www8.mpce.mp.br/Empenhos/150001/Objeto/25-2021.pdf","ALUGUEL DO IMÓVEL ONDE FUNCIONAM AS PROMOTORIAS DE JUSTIÇA DA COMARCA DE ALTO SANTO, EM CONSONÂNCIA AO CONTRATO 025/2021/PGJ, DOS MESES DE MAIO E JUNHO DE 2024.")</f>
        <v>ALUGUEL DO IMÓVEL ONDE FUNCIONAM AS PROMOTORIAS DE JUSTIÇA DA COMARCA DE ALTO SANTO, EM CONSONÂNCIA AO CONTRATO 025/2021/PGJ, DOS MESES DE MAIO E JUNHO DE 2024.</v>
      </c>
      <c r="F319" s="3" t="s">
        <v>172</v>
      </c>
      <c r="G319" s="6" t="str">
        <f>HYPERLINK("http://www8.mpce.mp.br/Empenhos/150501/NE/2024NE000473.pdf","2024NE000473")</f>
        <v>2024NE000473</v>
      </c>
      <c r="H319" s="7">
        <v>3302.3</v>
      </c>
      <c r="I319" s="8" t="s">
        <v>218</v>
      </c>
      <c r="J319" s="12" t="s">
        <v>219</v>
      </c>
    </row>
    <row r="320" spans="1:10" ht="63.75" x14ac:dyDescent="0.25">
      <c r="A320" s="2" t="s">
        <v>45</v>
      </c>
      <c r="B320" s="3" t="s">
        <v>548</v>
      </c>
      <c r="C320" s="4" t="str">
        <f>HYPERLINK("https://transparencia-area-fim.mpce.mp.br/#/consulta/processo/pastadigital/092021000047808","09.2021.00004780-8")</f>
        <v>09.2021.00004780-8</v>
      </c>
      <c r="D320" s="5">
        <v>45422</v>
      </c>
      <c r="E320" s="9" t="str">
        <f>HYPERLINK("https://www8.mpce.mp.br/Empenhos/150001/Objeto/25-2021.pdf","IPTU REFERENTE À PARCELA ÚNICA DE 2024, DO IMÓVEL ONDE FUNCIONAM AS PROMOTORIAS DE JUSTIÇA DA COMARCA DE ALTO SANTO, LOCALIZADO À RUA FREI LAMBERTO, Nº 130, BAIRRO CENTRO, ALTO SANTO, CONF. CONTRATO Nº 025/2021/PGJ.")</f>
        <v>IPTU REFERENTE À PARCELA ÚNICA DE 2024, DO IMÓVEL ONDE FUNCIONAM AS PROMOTORIAS DE JUSTIÇA DA COMARCA DE ALTO SANTO, LOCALIZADO À RUA FREI LAMBERTO, Nº 130, BAIRRO CENTRO, ALTO SANTO, CONF. CONTRATO Nº 025/2021/PGJ.</v>
      </c>
      <c r="F320" s="3" t="s">
        <v>234</v>
      </c>
      <c r="G320" s="6" t="str">
        <f>HYPERLINK("http://www8.mpce.mp.br/Empenhos/150501/NE/2024NE000474.pdf","2024NE000474")</f>
        <v>2024NE000474</v>
      </c>
      <c r="H320" s="7">
        <v>26</v>
      </c>
      <c r="I320" s="8" t="s">
        <v>218</v>
      </c>
      <c r="J320" s="12" t="s">
        <v>219</v>
      </c>
    </row>
    <row r="321" spans="1:10" ht="63.75" x14ac:dyDescent="0.25">
      <c r="A321" s="2" t="s">
        <v>45</v>
      </c>
      <c r="B321" s="3" t="s">
        <v>549</v>
      </c>
      <c r="C321" s="4" t="str">
        <f>HYPERLINK("http://www8.mpce.mp.br/Dispensa/842220170.pdf","8422/20170")</f>
        <v>8422/20170</v>
      </c>
      <c r="D321" s="5">
        <v>45421</v>
      </c>
      <c r="E321" s="9" t="str">
        <f>HYPERLINK("https://www8.mpce.mp.br/Empenhos/150001/Objeto/16-2017.pdf","IPTU REFERENTE À 4ª PARCELA DE 2024, DO IMÓVEL ONDE FUNCIONAM AS PROMOTORIAS DE JUSTIÇA CRIMINAIS, LOCALIZADA À AV. CEL. JOSÉ FILOMENO GOMES, Nº 222, BAIRRO LUCIANO CAVALCANTE, CONF. CONTRATO Nº 016/2017/PGJ.")</f>
        <v>IPTU REFERENTE À 4ª PARCELA DE 2024, DO IMÓVEL ONDE FUNCIONAM AS PROMOTORIAS DE JUSTIÇA CRIMINAIS, LOCALIZADA À AV. CEL. JOSÉ FILOMENO GOMES, Nº 222, BAIRRO LUCIANO CAVALCANTE, CONF. CONTRATO Nº 016/2017/PGJ.</v>
      </c>
      <c r="F321" s="3" t="s">
        <v>264</v>
      </c>
      <c r="G321" s="6" t="str">
        <f>HYPERLINK("http://www8.mpce.mp.br/Empenhos/150501/NE/2024NE000475.pdf","2024NE000475")</f>
        <v>2024NE000475</v>
      </c>
      <c r="H321" s="7">
        <v>2619.0100000000002</v>
      </c>
      <c r="I321" s="8" t="s">
        <v>169</v>
      </c>
      <c r="J321" s="12" t="s">
        <v>170</v>
      </c>
    </row>
    <row r="322" spans="1:10" ht="76.5" x14ac:dyDescent="0.25">
      <c r="A322" s="2" t="s">
        <v>20</v>
      </c>
      <c r="B322" s="3" t="s">
        <v>445</v>
      </c>
      <c r="C322" s="4" t="str">
        <f>HYPERLINK("https://transparencia-area-fim.mpce.mp.br/#/consulta/processo/pastadigital/092024000061600","09.2024.00006160-0")</f>
        <v>09.2024.00006160-0</v>
      </c>
      <c r="D322" s="5">
        <v>45358</v>
      </c>
      <c r="E322" s="9" t="s">
        <v>446</v>
      </c>
      <c r="F322" s="3" t="s">
        <v>399</v>
      </c>
      <c r="G322" s="6" t="str">
        <f>HYPERLINK("http://www8.mpce.mp.br/Empenhos/150001/NE/2024NE000476.pdf","2024NE000476")</f>
        <v>2024NE000476</v>
      </c>
      <c r="H322" s="7">
        <v>29700</v>
      </c>
      <c r="I322" s="8" t="s">
        <v>447</v>
      </c>
      <c r="J322" s="12" t="s">
        <v>448</v>
      </c>
    </row>
    <row r="323" spans="1:10" ht="51" x14ac:dyDescent="0.25">
      <c r="A323" s="2" t="s">
        <v>45</v>
      </c>
      <c r="B323" s="3" t="s">
        <v>550</v>
      </c>
      <c r="C323" s="4" t="str">
        <f>HYPERLINK("https://transparencia-area-fim.mpce.mp.br/#/consulta/processo/pastadigital/092022000081432","09.2022.00008143-2")</f>
        <v>09.2022.00008143-2</v>
      </c>
      <c r="D323" s="5">
        <v>45421</v>
      </c>
      <c r="E323" s="9" t="str">
        <f>HYPERLINK("https://www8.mpce.mp.br/Empenhos/150001/Objeto/16-2022.pdf","IPTU REFERENTE À PARCELA ÚNICA DE 2024, RELATIVO AO IMÓVEL ONDE FUNCIONAM AS PROMOTORIAS DE JUSTIÇA DE BARBALHA, LOCALIZADAS À RUA 15 DE NOVEMBRO, Nº 231, CENTRO, CONF. 016/2022/PGJ.")</f>
        <v>IPTU REFERENTE À PARCELA ÚNICA DE 2024, RELATIVO AO IMÓVEL ONDE FUNCIONAM AS PROMOTORIAS DE JUSTIÇA DE BARBALHA, LOCALIZADAS À RUA 15 DE NOVEMBRO, Nº 231, CENTRO, CONF. 016/2022/PGJ.</v>
      </c>
      <c r="F323" s="3" t="s">
        <v>264</v>
      </c>
      <c r="G323" s="6" t="str">
        <f>HYPERLINK("http://www8.mpce.mp.br/Empenhos/150501/NE/2024NE000476.pdf","2024NE000476")</f>
        <v>2024NE000476</v>
      </c>
      <c r="H323" s="7">
        <v>1585.98</v>
      </c>
      <c r="I323" s="8" t="s">
        <v>143</v>
      </c>
      <c r="J323" s="12" t="s">
        <v>144</v>
      </c>
    </row>
    <row r="324" spans="1:10" ht="63.75" x14ac:dyDescent="0.25">
      <c r="A324" s="2" t="s">
        <v>45</v>
      </c>
      <c r="B324" s="3" t="s">
        <v>551</v>
      </c>
      <c r="C324" s="4" t="str">
        <f>HYPERLINK("https://transparencia-area-fim.mpce.mp.br/#/consulta/processo/pastadigital/092021000063220","09.2021.00006322-0")</f>
        <v>09.2021.00006322-0</v>
      </c>
      <c r="D324" s="5">
        <v>45422</v>
      </c>
      <c r="E324" s="9" t="str">
        <f>HYPERLINK("https://www8.mpce.mp.br/Empenhos/150001/Objeto/33-2021.pdf","IPTU DE 2024 REFERENTE A PARCELA ÚNICA DE 2024, DO IMÓVEL ONDE FUNCIONAM AS PROMOTORIAS DE JUSTIÇA DE SOBRAL, LOCALIZADAS NA  AV. DEPUTADO JOÃO FREDERICO FERREIRA GOMES, Nº 300, BAIRRO PARQUE SILVANA, CONF. CONTRATO Nº 033/2021/PGJ.")</f>
        <v>IPTU DE 2024 REFERENTE A PARCELA ÚNICA DE 2024, DO IMÓVEL ONDE FUNCIONAM AS PROMOTORIAS DE JUSTIÇA DE SOBRAL, LOCALIZADAS NA  AV. DEPUTADO JOÃO FREDERICO FERREIRA GOMES, Nº 300, BAIRRO PARQUE SILVANA, CONF. CONTRATO Nº 033/2021/PGJ.</v>
      </c>
      <c r="F324" s="3" t="s">
        <v>264</v>
      </c>
      <c r="G324" s="6" t="str">
        <f>HYPERLINK("http://www8.mpce.mp.br/Empenhos/150501/NE/2024NE000481.pdf","2024NE000481")</f>
        <v>2024NE000481</v>
      </c>
      <c r="H324" s="7">
        <v>20105.18</v>
      </c>
      <c r="I324" s="8" t="s">
        <v>145</v>
      </c>
      <c r="J324" s="12" t="s">
        <v>146</v>
      </c>
    </row>
    <row r="325" spans="1:10" ht="38.25" x14ac:dyDescent="0.25">
      <c r="A325" s="2" t="s">
        <v>45</v>
      </c>
      <c r="B325" s="3" t="s">
        <v>552</v>
      </c>
      <c r="C325" s="4" t="str">
        <f>HYPERLINK("https://transparencia-area-fim.mpce.mp.br/#/consulta/processo/pastadigital/092022000343829","09.2022.00034382-9")</f>
        <v>09.2022.00034382-9</v>
      </c>
      <c r="D325" s="5">
        <v>45425</v>
      </c>
      <c r="E325" s="9" t="str">
        <f>HYPERLINK("https://www8.mpce.mp.br/Empenhos/150001/Objeto/10-2023.pdf","ALUGUÉIS DO IMÓVEL ONDE FUNCIONAM AS PROMOTORIAS DE JUSTIÇA DA COMARCA DE ITAPAJÉ, CONF. CONTRATO Nº 010/2023/PGJ,  DOS MESES DE MAIO E JUNHO DE 2024.")</f>
        <v>ALUGUÉIS DO IMÓVEL ONDE FUNCIONAM AS PROMOTORIAS DE JUSTIÇA DA COMARCA DE ITAPAJÉ, CONF. CONTRATO Nº 010/2023/PGJ,  DOS MESES DE MAIO E JUNHO DE 2024.</v>
      </c>
      <c r="F325" s="3" t="s">
        <v>127</v>
      </c>
      <c r="G325" s="6" t="str">
        <f>HYPERLINK("http://www8.mpce.mp.br/Empenhos/150501/NE/2024NE000485.pdf","2024NE000485")</f>
        <v>2024NE000485</v>
      </c>
      <c r="H325" s="7">
        <v>27224</v>
      </c>
      <c r="I325" s="8" t="s">
        <v>140</v>
      </c>
      <c r="J325" s="12" t="s">
        <v>141</v>
      </c>
    </row>
    <row r="326" spans="1:10" ht="51" x14ac:dyDescent="0.25">
      <c r="A326" s="2" t="s">
        <v>45</v>
      </c>
      <c r="B326" s="3" t="s">
        <v>553</v>
      </c>
      <c r="C326" s="4" t="str">
        <f>HYPERLINK("http://www8.mpce.mp.br/Dispensa/575920103.pdf","5759/2010-3")</f>
        <v>5759/2010-3</v>
      </c>
      <c r="D326" s="5">
        <v>45425</v>
      </c>
      <c r="E326" s="9" t="str">
        <f>HYPERLINK("https://www8.mpce.mp.br/Empenhos/150001/Objeto/22-2010.pdf","ALUGUEL DO MÓVEL ONDE FUNCIONA A SEDE DAS PROMOTORIAS DE JUSTIÇA DA COMARCA DE GUAIÚBA, CONF. CONTRATO Nº 022/2010/PGJ,   REF. MAIO E JUNHO/2024.")</f>
        <v>ALUGUEL DO MÓVEL ONDE FUNCIONA A SEDE DAS PROMOTORIAS DE JUSTIÇA DA COMARCA DE GUAIÚBA, CONF. CONTRATO Nº 022/2010/PGJ,   REF. MAIO E JUNHO/2024.</v>
      </c>
      <c r="F326" s="3" t="s">
        <v>172</v>
      </c>
      <c r="G326" s="6" t="str">
        <f>HYPERLINK("http://www8.mpce.mp.br/Empenhos/150501/NE/2024NE000486.pdf","2024NE000486")</f>
        <v>2024NE000486</v>
      </c>
      <c r="H326" s="7">
        <v>4683.9399999999996</v>
      </c>
      <c r="I326" s="8" t="s">
        <v>222</v>
      </c>
      <c r="J326" s="12" t="s">
        <v>223</v>
      </c>
    </row>
    <row r="327" spans="1:10" ht="51" x14ac:dyDescent="0.25">
      <c r="A327" s="2" t="s">
        <v>45</v>
      </c>
      <c r="B327" s="3" t="s">
        <v>554</v>
      </c>
      <c r="C327" s="4" t="str">
        <f>HYPERLINK("http://www8.mpce.mp.br/Dispensa/146020136.pdf","1460/2013-6")</f>
        <v>1460/2013-6</v>
      </c>
      <c r="D327" s="5">
        <v>45425</v>
      </c>
      <c r="E327" s="9" t="str">
        <f>HYPERLINK("https://www8.mpce.mp.br/Empenhos/150001/Objeto/39-2013.pdf","ALUGUEL DO IMÓVEL ONDE FUNCIONAS AS PROMOTORIAS DE JUSTIÇA DA COMARCA DE CASCAVEL, RELATIVO AO CONTRATO Nº 039/2013/CPL/PGJ, MESES MAIO E JUNHO DE 2024.")</f>
        <v>ALUGUEL DO IMÓVEL ONDE FUNCIONAS AS PROMOTORIAS DE JUSTIÇA DA COMARCA DE CASCAVEL, RELATIVO AO CONTRATO Nº 039/2013/CPL/PGJ, MESES MAIO E JUNHO DE 2024.</v>
      </c>
      <c r="F327" s="3" t="s">
        <v>172</v>
      </c>
      <c r="G327" s="6" t="str">
        <f>HYPERLINK("http://www8.mpce.mp.br/Empenhos/150501/NE/2024NE000487.pdf","2024NE000487")</f>
        <v>2024NE000487</v>
      </c>
      <c r="H327" s="7">
        <v>8683.1200000000008</v>
      </c>
      <c r="I327" s="8" t="s">
        <v>243</v>
      </c>
      <c r="J327" s="12" t="s">
        <v>244</v>
      </c>
    </row>
    <row r="328" spans="1:10" ht="51" x14ac:dyDescent="0.25">
      <c r="A328" s="2" t="s">
        <v>45</v>
      </c>
      <c r="B328" s="3" t="s">
        <v>555</v>
      </c>
      <c r="C328" s="4" t="str">
        <f>HYPERLINK("https://transparencia-area-fim.mpce.mp.br/#/consulta/processo/pastadigital/092021000244282","09.2021.00024428-2")</f>
        <v>09.2021.00024428-2</v>
      </c>
      <c r="D328" s="5">
        <v>45425</v>
      </c>
      <c r="E328" s="9" t="str">
        <f>HYPERLINK("https://www8.mpce.mp.br/Empenhos/150001/Objeto/18-2022.pdf","ALUGUEL REF. AO IMÓVEL ONDE FUNCIONAM AS PROMOTORIAS DE JUSTIÇA DA COMARCA DE CRATEÚS, RELATIVO AO CONTRATO Nº 018/2022/PGJ, MESES MAIO E JUNHO DE 2024.")</f>
        <v>ALUGUEL REF. AO IMÓVEL ONDE FUNCIONAM AS PROMOTORIAS DE JUSTIÇA DA COMARCA DE CRATEÚS, RELATIVO AO CONTRATO Nº 018/2022/PGJ, MESES MAIO E JUNHO DE 2024.</v>
      </c>
      <c r="F328" s="3" t="s">
        <v>127</v>
      </c>
      <c r="G328" s="6" t="str">
        <f>HYPERLINK("http://www8.mpce.mp.br/Empenhos/150501/NE/2024NE000488.pdf","2024NE000488")</f>
        <v>2024NE000488</v>
      </c>
      <c r="H328" s="7">
        <v>52000.2</v>
      </c>
      <c r="I328" s="8" t="s">
        <v>145</v>
      </c>
      <c r="J328" s="12" t="s">
        <v>146</v>
      </c>
    </row>
    <row r="329" spans="1:10" ht="51" x14ac:dyDescent="0.25">
      <c r="A329" s="2" t="s">
        <v>45</v>
      </c>
      <c r="B329" s="3" t="s">
        <v>556</v>
      </c>
      <c r="C329" s="4" t="str">
        <f>HYPERLINK("https://transparencia-area-fim.mpce.mp.br/#/consulta/processo/pastadigital/092021000166790","09.2021.00016679-0")</f>
        <v>09.2021.00016679-0</v>
      </c>
      <c r="D329" s="5">
        <v>45425</v>
      </c>
      <c r="E329" s="9" t="str">
        <f>HYPERLINK("https://www8.mpce.mp.br/Empenhos/150001/Objeto/24-2022.pdf","ALUGUEL DO IMÓVEL ONDE FUNCIONA A SEDE DAS PROMOTORIAS DE JUSTIÇA DA COMARCA DE HORIZONTE, CONF. CONTRATO 024/2022, REF. MAIO E JUNHO/2024, POR ESTIMATIVA.")</f>
        <v>ALUGUEL DO IMÓVEL ONDE FUNCIONA A SEDE DAS PROMOTORIAS DE JUSTIÇA DA COMARCA DE HORIZONTE, CONF. CONTRATO 024/2022, REF. MAIO E JUNHO/2024, POR ESTIMATIVA.</v>
      </c>
      <c r="F329" s="3" t="s">
        <v>172</v>
      </c>
      <c r="G329" s="6" t="str">
        <f>HYPERLINK("http://www8.mpce.mp.br/Empenhos/150501/NE/2024NE000489.pdf","2024NE000489")</f>
        <v>2024NE000489</v>
      </c>
      <c r="H329" s="7">
        <v>4800</v>
      </c>
      <c r="I329" s="8" t="s">
        <v>220</v>
      </c>
      <c r="J329" s="12" t="s">
        <v>221</v>
      </c>
    </row>
    <row r="330" spans="1:10" ht="51" x14ac:dyDescent="0.25">
      <c r="A330" s="2" t="s">
        <v>20</v>
      </c>
      <c r="B330" s="3" t="s">
        <v>557</v>
      </c>
      <c r="C330" s="4" t="str">
        <f>HYPERLINK("https://transparencia-area-fim.mpce.mp.br/#/consulta/processo/pastadigital/092022000083885","09.2022.00008388-5")</f>
        <v>09.2022.00008388-5</v>
      </c>
      <c r="D330" s="5">
        <v>45425</v>
      </c>
      <c r="E330" s="9" t="str">
        <f>HYPERLINK("https://www8.mpce.mp.br/Empenhos/150001/Objeto/36-2023.pdf","ALUGUEL, REF. AO IMÓVEL ONDE FUNCIONAM AS PROMOTORIAS DE JUSTIÇA DA COMARCA DE SOLONÓPOLE, CONF. CONTRATO Nº 036/2023/PGJ,  DOS MESES MAIO E JUNHO DE 2024.")</f>
        <v>ALUGUEL, REF. AO IMÓVEL ONDE FUNCIONAM AS PROMOTORIAS DE JUSTIÇA DA COMARCA DE SOLONÓPOLE, CONF. CONTRATO Nº 036/2023/PGJ,  DOS MESES MAIO E JUNHO DE 2024.</v>
      </c>
      <c r="F330" s="3" t="s">
        <v>172</v>
      </c>
      <c r="G330" s="6" t="str">
        <f>HYPERLINK("http://www8.mpce.mp.br/Empenhos/150501/NE/2024NE000490.pdf","2024NE000490")</f>
        <v>2024NE000490</v>
      </c>
      <c r="H330" s="7">
        <v>7794.48</v>
      </c>
      <c r="I330" s="8" t="s">
        <v>199</v>
      </c>
      <c r="J330" s="12" t="s">
        <v>200</v>
      </c>
    </row>
    <row r="331" spans="1:10" ht="51" x14ac:dyDescent="0.25">
      <c r="A331" s="2" t="s">
        <v>45</v>
      </c>
      <c r="B331" s="3" t="s">
        <v>558</v>
      </c>
      <c r="C331" s="4" t="str">
        <f>HYPERLINK("https://transparencia-area-fim.mpce.mp.br/#/consulta/processo/pastadigital/092022000230870","09.2022.00023087-0")</f>
        <v>09.2022.00023087-0</v>
      </c>
      <c r="D331" s="5">
        <v>45425</v>
      </c>
      <c r="E331" s="9" t="str">
        <f>HYPERLINK("https://www8.mpce.mp.br/Empenhos/150001/Objeto/29-2022.pdf","ALUGUEL DO  IMÓVEL ONDE FUNCIONAM AS PROMOTORIAS DE JUSTIÇA DA COMARCA DE JUAZEIRO DO NORTE, RELATIVO AO CONTRATO 029/2022/PGJ, REF. AOS MESES MAIO E JUNHO DE 2024.")</f>
        <v>ALUGUEL DO  IMÓVEL ONDE FUNCIONAM AS PROMOTORIAS DE JUSTIÇA DA COMARCA DE JUAZEIRO DO NORTE, RELATIVO AO CONTRATO 029/2022/PGJ, REF. AOS MESES MAIO E JUNHO DE 2024.</v>
      </c>
      <c r="F331" s="3" t="s">
        <v>127</v>
      </c>
      <c r="G331" s="6" t="str">
        <f>HYPERLINK("http://www8.mpce.mp.br/Empenhos/150501/NE/2024NE000491.pdf","2024NE000491")</f>
        <v>2024NE000491</v>
      </c>
      <c r="H331" s="7">
        <v>132322.82</v>
      </c>
      <c r="I331" s="8" t="s">
        <v>143</v>
      </c>
      <c r="J331" s="12" t="s">
        <v>144</v>
      </c>
    </row>
    <row r="332" spans="1:10" ht="63.75" x14ac:dyDescent="0.25">
      <c r="A332" s="2" t="s">
        <v>45</v>
      </c>
      <c r="B332" s="3" t="s">
        <v>559</v>
      </c>
      <c r="C332" s="4" t="str">
        <f>HYPERLINK("https://transparencia-area-fim.mpce.mp.br/#/consulta/processo/pastadigital/092021000244282","09.2021.00024428-2")</f>
        <v>09.2021.00024428-2</v>
      </c>
      <c r="D332" s="5">
        <v>45425</v>
      </c>
      <c r="E332" s="9" t="str">
        <f>HYPERLINK("https://www8.mpce.mp.br/Empenhos/150001/Objeto/18-2022.pdf","IPTU DE 2024 REFERENTE A PARCELA ÚNICA DE 2024, DO IMÓVEL ONDE FUNCIONAM AS PROMOTORIAS DE JUSTIÇA DE CRATEÚS, LOCALIZADAS À RUA TOBIAS SOARES RESENDE Nº 192, BAIRRO MORADA DOS VENTOS, CRATEÚS, CONF. CONTRATO Nº 018/2022/PGJ.")</f>
        <v>IPTU DE 2024 REFERENTE A PARCELA ÚNICA DE 2024, DO IMÓVEL ONDE FUNCIONAM AS PROMOTORIAS DE JUSTIÇA DE CRATEÚS, LOCALIZADAS À RUA TOBIAS SOARES RESENDE Nº 192, BAIRRO MORADA DOS VENTOS, CRATEÚS, CONF. CONTRATO Nº 018/2022/PGJ.</v>
      </c>
      <c r="F332" s="3" t="s">
        <v>264</v>
      </c>
      <c r="G332" s="6" t="str">
        <f>HYPERLINK("http://www8.mpce.mp.br/Empenhos/150501/NE/2024NE000495.pdf","2024NE000495")</f>
        <v>2024NE000495</v>
      </c>
      <c r="H332" s="7">
        <v>4192.49</v>
      </c>
      <c r="I332" s="8" t="s">
        <v>145</v>
      </c>
      <c r="J332" s="12" t="s">
        <v>146</v>
      </c>
    </row>
    <row r="333" spans="1:10" ht="102" x14ac:dyDescent="0.25">
      <c r="A333" s="2" t="s">
        <v>20</v>
      </c>
      <c r="B333" s="3" t="s">
        <v>560</v>
      </c>
      <c r="C333" s="4" t="str">
        <f>HYPERLINK("http://www8.mpce.mp.br/Inexigibilidade/1045920194.pdf","10459/2019-4")</f>
        <v>10459/2019-4</v>
      </c>
      <c r="D333" s="5">
        <v>45426</v>
      </c>
      <c r="E333" s="9" t="s">
        <v>561</v>
      </c>
      <c r="F333" s="3" t="s">
        <v>92</v>
      </c>
      <c r="G333" s="6" t="str">
        <f>HYPERLINK("http://www8.mpce.mp.br/Empenhos/150501/NE/2024NE000496.pdf","2024NE000496")</f>
        <v>2024NE000496</v>
      </c>
      <c r="H333" s="7">
        <v>162760</v>
      </c>
      <c r="I333" s="8" t="s">
        <v>267</v>
      </c>
      <c r="J333" s="12" t="s">
        <v>268</v>
      </c>
    </row>
    <row r="334" spans="1:10" ht="51" x14ac:dyDescent="0.25">
      <c r="A334" s="2" t="s">
        <v>45</v>
      </c>
      <c r="B334" s="3" t="s">
        <v>562</v>
      </c>
      <c r="C334" s="4" t="str">
        <f>HYPERLINK("http://www8.mpce.mp.br/Dispensa/6795020160.pdf","6795020160")</f>
        <v>6795020160</v>
      </c>
      <c r="D334" s="5">
        <v>45433</v>
      </c>
      <c r="E334" s="9" t="str">
        <f>HYPERLINK("https://www8.mpce.mp.br/Empenhos/150001/Objeto/08-2017.pdf","EMPENHO REF. REEMBOLSO DE IPTU DE IMÓVEL ONDE FUNCIONA SEDE DE PROMOTORIAS DE JUSTIÇA DA COMARCA DE JARDIM, CONF. CONTRATO 008/2017, REF. 2024 - PARCELA ÚNICA.")</f>
        <v>EMPENHO REF. REEMBOLSO DE IPTU DE IMÓVEL ONDE FUNCIONA SEDE DE PROMOTORIAS DE JUSTIÇA DA COMARCA DE JARDIM, CONF. CONTRATO 008/2017, REF. 2024 - PARCELA ÚNICA.</v>
      </c>
      <c r="F334" s="3" t="s">
        <v>234</v>
      </c>
      <c r="G334" s="6" t="str">
        <f>HYPERLINK("http://www8.mpce.mp.br/Empenhos/150501/NE/2024NE000503.pdf","2024NE000503")</f>
        <v>2024NE000503</v>
      </c>
      <c r="H334" s="7">
        <v>83.51</v>
      </c>
      <c r="I334" s="8" t="s">
        <v>230</v>
      </c>
      <c r="J334" s="12" t="s">
        <v>231</v>
      </c>
    </row>
    <row r="335" spans="1:10" ht="153" x14ac:dyDescent="0.25">
      <c r="A335" s="2" t="s">
        <v>20</v>
      </c>
      <c r="B335" s="3" t="s">
        <v>563</v>
      </c>
      <c r="C335" s="4" t="str">
        <f>HYPERLINK("https://transparencia-area-fim.mpce.mp.br/#/consulta/processo/pastadigital/092023000254844","09.2023.00025484-4")</f>
        <v>09.2023.00025484-4</v>
      </c>
      <c r="D335" s="5">
        <v>45434</v>
      </c>
      <c r="E335" s="9" t="s">
        <v>564</v>
      </c>
      <c r="F335" s="3" t="s">
        <v>565</v>
      </c>
      <c r="G335" s="6" t="str">
        <f>HYPERLINK("http://www8.mpce.mp.br/Empenhos/150501/NE/2024NE000505.pdf","2024NE000505")</f>
        <v>2024NE000505</v>
      </c>
      <c r="H335" s="7">
        <v>36096.6</v>
      </c>
      <c r="I335" s="8" t="s">
        <v>566</v>
      </c>
      <c r="J335" s="12" t="s">
        <v>567</v>
      </c>
    </row>
    <row r="336" spans="1:10" ht="67.5" x14ac:dyDescent="0.25">
      <c r="A336" s="2" t="s">
        <v>20</v>
      </c>
      <c r="B336" s="3" t="s">
        <v>568</v>
      </c>
      <c r="C336" s="4" t="str">
        <f>HYPERLINK("https://transparencia-area-fim.mpce.mp.br/#/consulta/processo/pastadigital/092023000254844","09.2023.00025484-4")</f>
        <v>09.2023.00025484-4</v>
      </c>
      <c r="D336" s="5">
        <v>45434</v>
      </c>
      <c r="E336" s="9" t="str">
        <f>HYPERLINK("https://www8.mpce.mp.br/Empenhos/150001/Objeto/03-2024.pdf","EMPENHO REF. SERVIÇOS ESPECIALIZADOS DE EXTENSÃO DE GARANTIA DE EQUIPAMENTOS IBM, INCLUINDO O SERVIÇO DE MANUTENÇÃO TÉCNICO REMOTO, POR INEXIGIBILIDADE DE LICITAÇÃO, CONF. CONTRATO 003/2024, REF. EXERCÍCIO 2024, POR ESTIMATIVA.")</f>
        <v>EMPENHO REF. SERVIÇOS ESPECIALIZADOS DE EXTENSÃO DE GARANTIA DE EQUIPAMENTOS IBM, INCLUINDO O SERVIÇO DE MANUTENÇÃO TÉCNICO REMOTO, POR INEXIGIBILIDADE DE LICITAÇÃO, CONF. CONTRATO 003/2024, REF. EXERCÍCIO 2024, POR ESTIMATIVA.</v>
      </c>
      <c r="F336" s="3" t="s">
        <v>565</v>
      </c>
      <c r="G336" s="6" t="str">
        <f>HYPERLINK("http://www8.mpce.mp.br/Empenhos/150501/NE/2024NE000506.pdf","2024NE000506")</f>
        <v>2024NE000506</v>
      </c>
      <c r="H336" s="7">
        <v>16670.400000000001</v>
      </c>
      <c r="I336" s="8" t="s">
        <v>566</v>
      </c>
      <c r="J336" s="12" t="s">
        <v>567</v>
      </c>
    </row>
    <row r="337" spans="1:10" ht="63.75" x14ac:dyDescent="0.25">
      <c r="A337" s="2" t="s">
        <v>45</v>
      </c>
      <c r="B337" s="3" t="s">
        <v>449</v>
      </c>
      <c r="C337" s="4" t="str">
        <f>HYPERLINK("https://transparencia-area-fim.mpce.mp.br/#/consulta/processo/pastadigital/092024000073618","09.2024.00007361-8")</f>
        <v>09.2024.00007361-8</v>
      </c>
      <c r="D337" s="5">
        <v>45364</v>
      </c>
      <c r="E337" s="9" t="s">
        <v>450</v>
      </c>
      <c r="F337" s="3" t="s">
        <v>236</v>
      </c>
      <c r="G337" s="6" t="str">
        <f>HYPERLINK("http://www8.mpce.mp.br/Empenhos/150001/NE/2024NE000506.pdf","2024NE000506")</f>
        <v>2024NE000506</v>
      </c>
      <c r="H337" s="7">
        <v>6230.5</v>
      </c>
      <c r="I337" s="8" t="s">
        <v>451</v>
      </c>
      <c r="J337" s="12" t="s">
        <v>452</v>
      </c>
    </row>
    <row r="338" spans="1:10" ht="114.75" x14ac:dyDescent="0.25">
      <c r="A338" s="2" t="s">
        <v>20</v>
      </c>
      <c r="B338" s="3" t="s">
        <v>453</v>
      </c>
      <c r="C338" s="4" t="str">
        <f>HYPERLINK("https://transparencia-area-fim.mpce.mp.br/#/consulta/processo/pastadigital/092024000062332","09.2024.00006233-2")</f>
        <v>09.2024.00006233-2</v>
      </c>
      <c r="D338" s="5">
        <v>45364</v>
      </c>
      <c r="E338" s="9" t="s">
        <v>454</v>
      </c>
      <c r="F338" s="3" t="s">
        <v>399</v>
      </c>
      <c r="G338" s="6" t="str">
        <f>HYPERLINK("http://www8.mpce.mp.br/Empenhos/150001/NE/2024NE000508.pdf","2024NE000508")</f>
        <v>2024NE000508</v>
      </c>
      <c r="H338" s="7">
        <v>5400</v>
      </c>
      <c r="I338" s="8" t="s">
        <v>455</v>
      </c>
      <c r="J338" s="12" t="s">
        <v>456</v>
      </c>
    </row>
    <row r="339" spans="1:10" ht="51" x14ac:dyDescent="0.25">
      <c r="A339" s="2" t="s">
        <v>45</v>
      </c>
      <c r="B339" s="3" t="s">
        <v>569</v>
      </c>
      <c r="C339" s="4" t="str">
        <f>HYPERLINK("http://www8.mpce.mp.br/Dispensa/2150720189.pdf","21507/2018-9")</f>
        <v>21507/2018-9</v>
      </c>
      <c r="D339" s="5">
        <v>45435</v>
      </c>
      <c r="E339" s="9" t="str">
        <f>HYPERLINK("https://www8.mpce.mp.br/Empenhos/150001/Objeto/51-2019.pdf","EMPENHO REF. REEMBOLSO DE IPTU DE IMÓVEL ONDE FUNCIONA SEDE DE PROMOTORIAS DE JUSTIÇA DA COMARCA DE VIÇOSA DO CEARÁ, CONF. CONTRATO 051/2019, REF. 2024 - PARCELA ÚNICA.")</f>
        <v>EMPENHO REF. REEMBOLSO DE IPTU DE IMÓVEL ONDE FUNCIONA SEDE DE PROMOTORIAS DE JUSTIÇA DA COMARCA DE VIÇOSA DO CEARÁ, CONF. CONTRATO 051/2019, REF. 2024 - PARCELA ÚNICA.</v>
      </c>
      <c r="F339" s="3" t="s">
        <v>234</v>
      </c>
      <c r="G339" s="6" t="str">
        <f>HYPERLINK("http://www8.mpce.mp.br/Empenhos/150501/NE/2024NE000515.pdf","2024NE000515")</f>
        <v>2024NE000515</v>
      </c>
      <c r="H339" s="7">
        <v>170.18</v>
      </c>
      <c r="I339" s="8" t="s">
        <v>190</v>
      </c>
      <c r="J339" s="12" t="s">
        <v>191</v>
      </c>
    </row>
    <row r="340" spans="1:10" ht="51" x14ac:dyDescent="0.25">
      <c r="A340" s="2" t="s">
        <v>45</v>
      </c>
      <c r="B340" s="3" t="s">
        <v>570</v>
      </c>
      <c r="C340" s="4" t="str">
        <f>HYPERLINK("http://www8.mpce.mp.br/Dispensa/3642820165.pdf","36428/2016-5")</f>
        <v>36428/2016-5</v>
      </c>
      <c r="D340" s="5">
        <v>45446</v>
      </c>
      <c r="E340" s="9" t="str">
        <f>HYPERLINK("https://www8.mpce.mp.br/Empenhos/150001/Objeto/26-2017.pdf","REEMBOLSO DE IPTU DE IMÓVEL ONDE FUNCIONA SEDE DE PROMOTORIAS DE JUSTIÇA DA COMARCA DE MARANGUAPE, CONF. CONTRATO 026/2017, REF. 2024-PARC. ÚNICA.")</f>
        <v>REEMBOLSO DE IPTU DE IMÓVEL ONDE FUNCIONA SEDE DE PROMOTORIAS DE JUSTIÇA DA COMARCA DE MARANGUAPE, CONF. CONTRATO 026/2017, REF. 2024-PARC. ÚNICA.</v>
      </c>
      <c r="F340" s="3" t="s">
        <v>234</v>
      </c>
      <c r="G340" s="6" t="str">
        <f>HYPERLINK("http://www8.mpce.mp.br/Empenhos/150501/NE/2024NE000523.pdf","2024NE000523")</f>
        <v>2024NE000523</v>
      </c>
      <c r="H340" s="7">
        <v>938.24</v>
      </c>
      <c r="I340" s="8" t="s">
        <v>216</v>
      </c>
      <c r="J340" s="12" t="s">
        <v>217</v>
      </c>
    </row>
    <row r="341" spans="1:10" ht="63.75" x14ac:dyDescent="0.25">
      <c r="A341" s="2" t="s">
        <v>45</v>
      </c>
      <c r="B341" s="3" t="s">
        <v>571</v>
      </c>
      <c r="C341" s="4" t="str">
        <f>HYPERLINK("https://transparencia-area-fim.mpce.mp.br/#/consulta/processo/pastadigital/092023000388810","09.2023.00038881-0")</f>
        <v>09.2023.00038881-0</v>
      </c>
      <c r="D341" s="5">
        <v>45447</v>
      </c>
      <c r="E341" s="9" t="str">
        <f>HYPERLINK("https://www8.mpce.mp.br/Empenhos/150001/Objeto/22-2024.pdf","EMPENHO REF. SERVIÇOS DE SOLUÇÃO EM NUVEM DE PROTEÇÃO, GESTÃO, AVALIAÇÃO DE POSTURA E CONECTIVIDADE PARA NUVEM, INCLUINDO IMPLANTAÇÃO, MONITORAMENTO E SUPORTE TÉCNICO, CONF. CONTRATO 022/2024, REF. ABR E MAI/2024.")</f>
        <v>EMPENHO REF. SERVIÇOS DE SOLUÇÃO EM NUVEM DE PROTEÇÃO, GESTÃO, AVALIAÇÃO DE POSTURA E CONECTIVIDADE PARA NUVEM, INCLUINDO IMPLANTAÇÃO, MONITORAMENTO E SUPORTE TÉCNICO, CONF. CONTRATO 022/2024, REF. ABR E MAI/2024.</v>
      </c>
      <c r="F341" s="3" t="s">
        <v>572</v>
      </c>
      <c r="G341" s="6" t="str">
        <f>HYPERLINK("http://www8.mpce.mp.br/Empenhos/150501/NE/2024NE000524.pdf","2024NE000524")</f>
        <v>2024NE000524</v>
      </c>
      <c r="H341" s="7">
        <v>71437.03</v>
      </c>
      <c r="I341" s="8" t="s">
        <v>255</v>
      </c>
      <c r="J341" s="12" t="s">
        <v>256</v>
      </c>
    </row>
    <row r="342" spans="1:10" ht="78.75" x14ac:dyDescent="0.25">
      <c r="A342" s="2" t="s">
        <v>45</v>
      </c>
      <c r="B342" s="3" t="s">
        <v>457</v>
      </c>
      <c r="C342" s="4" t="str">
        <f>HYPERLINK("https://transparencia-area-fim.mpce.mp.br/#/consulta/processo/pastadigital/092023000403493","09.2023.00040349-3")</f>
        <v>09.2023.00040349-3</v>
      </c>
      <c r="D342" s="5">
        <v>45369</v>
      </c>
      <c r="E342" s="9" t="s">
        <v>458</v>
      </c>
      <c r="F342" s="3" t="s">
        <v>459</v>
      </c>
      <c r="G342" s="6" t="str">
        <f>HYPERLINK("http://www8.mpce.mp.br/Empenhos/150001/NE/2024NE000528.pdf","2024NE000528")</f>
        <v>2024NE000528</v>
      </c>
      <c r="H342" s="7">
        <v>3479</v>
      </c>
      <c r="I342" s="8" t="s">
        <v>460</v>
      </c>
      <c r="J342" s="12" t="s">
        <v>461</v>
      </c>
    </row>
    <row r="343" spans="1:10" ht="127.5" x14ac:dyDescent="0.25">
      <c r="A343" s="2" t="s">
        <v>20</v>
      </c>
      <c r="B343" s="3" t="s">
        <v>462</v>
      </c>
      <c r="C343" s="4" t="str">
        <f>HYPERLINK("https://transparencia-area-fim.mpce.mp.br/#/consulta/processo/pastadigital/092024000026236","09.2024.00002623-6")</f>
        <v>09.2024.00002623-6</v>
      </c>
      <c r="D343" s="5">
        <v>45369</v>
      </c>
      <c r="E343" s="9" t="s">
        <v>463</v>
      </c>
      <c r="F343" s="3" t="s">
        <v>464</v>
      </c>
      <c r="G343" s="6" t="str">
        <f>HYPERLINK("http://www8.mpce.mp.br/Empenhos/150001/NE/2024NE000529.pdf","2024NE000529")</f>
        <v>2024NE000529</v>
      </c>
      <c r="H343" s="7">
        <v>31055</v>
      </c>
      <c r="I343" s="8" t="s">
        <v>465</v>
      </c>
      <c r="J343" s="12" t="s">
        <v>466</v>
      </c>
    </row>
    <row r="344" spans="1:10" ht="45" x14ac:dyDescent="0.25">
      <c r="A344" s="2" t="s">
        <v>45</v>
      </c>
      <c r="B344" s="3" t="s">
        <v>573</v>
      </c>
      <c r="C344" s="4" t="str">
        <f>HYPERLINK("https://transparencia-area-fim.mpce.mp.br/#/consulta/processo/pastadigital/092022000343795","09.2022.00034379-5")</f>
        <v>09.2022.00034379-5</v>
      </c>
      <c r="D344" s="5">
        <v>45449</v>
      </c>
      <c r="E344" s="9" t="str">
        <f>HYPERLINK("https://www8.mpce.mp.br/Empenhos/150001/Objeto/25-2023.pdf","REF. A ALUGUEL DAS PROMOTORIAS DE JUSTIÇA DA COMARCA DE CANINDÉ, REF. AO MÊS DE JULHO, CONF. CONTRATO DE LOCAÇÃO: 025/2023/PGJ.")</f>
        <v>REF. A ALUGUEL DAS PROMOTORIAS DE JUSTIÇA DA COMARCA DE CANINDÉ, REF. AO MÊS DE JULHO, CONF. CONTRATO DE LOCAÇÃO: 025/2023/PGJ.</v>
      </c>
      <c r="F344" s="3" t="s">
        <v>127</v>
      </c>
      <c r="G344" s="6" t="str">
        <f>HYPERLINK("http://www8.mpce.mp.br/Empenhos/150501/NE/2024NE000534.pdf","2024NE000534")</f>
        <v>2024NE000534</v>
      </c>
      <c r="H344" s="7">
        <v>14000</v>
      </c>
      <c r="I344" s="8" t="s">
        <v>245</v>
      </c>
      <c r="J344" s="12" t="s">
        <v>246</v>
      </c>
    </row>
    <row r="345" spans="1:10" ht="38.25" x14ac:dyDescent="0.25">
      <c r="A345" s="2" t="s">
        <v>45</v>
      </c>
      <c r="B345" s="3" t="s">
        <v>574</v>
      </c>
      <c r="C345" s="4" t="str">
        <f>HYPERLINK("https://transparencia-area-fim.mpce.mp.br/#/consulta/processo/pastadigital/092022000343840","09.2022.00034384-0")</f>
        <v>09.2022.00034384-0</v>
      </c>
      <c r="D345" s="5">
        <v>45450</v>
      </c>
      <c r="E345" s="9" t="str">
        <f>HYPERLINK("https://www8.mpce.mp.br/Empenhos/150001/Objeto/11-2023.pdf","LOCAÇÃO DE IMÓVEL DAS PROMOTORIAS DE JUSTIÇA DE SANTA QUITÉRIA, REF. AO MÊS DE JULHO, CONF. CONTRATO Nº 011/2023.")</f>
        <v>LOCAÇÃO DE IMÓVEL DAS PROMOTORIAS DE JUSTIÇA DE SANTA QUITÉRIA, REF. AO MÊS DE JULHO, CONF. CONTRATO Nº 011/2023.</v>
      </c>
      <c r="F345" s="3" t="s">
        <v>127</v>
      </c>
      <c r="G345" s="6" t="str">
        <f>HYPERLINK("http://www8.mpce.mp.br/Empenhos/150501/NE/2024NE000535.pdf","2024NE000535")</f>
        <v>2024NE000535</v>
      </c>
      <c r="H345" s="7">
        <v>13200</v>
      </c>
      <c r="I345" s="8" t="s">
        <v>249</v>
      </c>
      <c r="J345" s="12" t="s">
        <v>250</v>
      </c>
    </row>
    <row r="346" spans="1:10" ht="51" x14ac:dyDescent="0.25">
      <c r="A346" s="2" t="s">
        <v>45</v>
      </c>
      <c r="B346" s="3" t="s">
        <v>575</v>
      </c>
      <c r="C346" s="4" t="str">
        <f>HYPERLINK("https://transparencia-area-fim.mpce.mp.br/#/consulta/processo/pastadigital/092022000343818","09.2022.00034381-8")</f>
        <v>09.2022.00034381-8</v>
      </c>
      <c r="D346" s="5">
        <v>45449</v>
      </c>
      <c r="E346" s="9" t="str">
        <f>HYPERLINK("https://www8.mpce.mp.br/Empenhos/150001/Objeto/24-2023.pdf","EMPENHO DO ALUGUEL DO MÊS DE JULHO DE 2024, DO IMÓVEL ONDE FUNCIONAM AS PROMOTORIAS DE JUSTIÇA DA COMARCA DE ITAPIPOCA, CONF. CONTRATO DE LOCAÇÃO: 024/2023/PGJ.")</f>
        <v>EMPENHO DO ALUGUEL DO MÊS DE JULHO DE 2024, DO IMÓVEL ONDE FUNCIONAM AS PROMOTORIAS DE JUSTIÇA DA COMARCA DE ITAPIPOCA, CONF. CONTRATO DE LOCAÇÃO: 024/2023/PGJ.</v>
      </c>
      <c r="F346" s="3" t="s">
        <v>127</v>
      </c>
      <c r="G346" s="6" t="str">
        <f>HYPERLINK("http://www8.mpce.mp.br/Empenhos/150501/NE/2024NE000536.pdf","2024NE000536")</f>
        <v>2024NE000536</v>
      </c>
      <c r="H346" s="7">
        <v>18000</v>
      </c>
      <c r="I346" s="8" t="s">
        <v>251</v>
      </c>
      <c r="J346" s="12" t="s">
        <v>252</v>
      </c>
    </row>
    <row r="347" spans="1:10" ht="51" x14ac:dyDescent="0.25">
      <c r="A347" s="2" t="s">
        <v>45</v>
      </c>
      <c r="B347" s="3" t="s">
        <v>576</v>
      </c>
      <c r="C347" s="4" t="str">
        <f>HYPERLINK("https://transparencia-area-fim.mpce.mp.br/#/consulta/processo/pastadigital/092022000343751","09.2022.00034375-1")</f>
        <v>09.2022.00034375-1</v>
      </c>
      <c r="D347" s="5">
        <v>45449</v>
      </c>
      <c r="E347" s="9" t="str">
        <f>HYPERLINK("https://www8.mpce.mp.br/Empenhos/150001/Objeto/08-2023.pdf","EMPENHO DO ALUGUEL DOS MÊS DE JULHO DE 2024, DO IMÓVEL ONDE FUNCIONAM AS PROMOTORIAS DE JUSTIÇA DA COMARCA DE QUIXERAMOBIM, CONF. CONTRATO DE LOCAÇÃO: 008/2023/PGJ.")</f>
        <v>EMPENHO DO ALUGUEL DOS MÊS DE JULHO DE 2024, DO IMÓVEL ONDE FUNCIONAM AS PROMOTORIAS DE JUSTIÇA DA COMARCA DE QUIXERAMOBIM, CONF. CONTRATO DE LOCAÇÃO: 008/2023/PGJ.</v>
      </c>
      <c r="F347" s="3" t="s">
        <v>127</v>
      </c>
      <c r="G347" s="6" t="str">
        <f>HYPERLINK("http://www8.mpce.mp.br/Empenhos/150501/NE/2024NE000537.pdf","2024NE000537")</f>
        <v>2024NE000537</v>
      </c>
      <c r="H347" s="7">
        <v>14180</v>
      </c>
      <c r="I347" s="8" t="s">
        <v>140</v>
      </c>
      <c r="J347" s="12" t="s">
        <v>141</v>
      </c>
    </row>
    <row r="348" spans="1:10" ht="51" x14ac:dyDescent="0.25">
      <c r="A348" s="2" t="s">
        <v>45</v>
      </c>
      <c r="B348" s="3" t="s">
        <v>577</v>
      </c>
      <c r="C348" s="4" t="str">
        <f>HYPERLINK("https://transparencia-area-fim.mpce.mp.br/#/consulta/processo/pastadigital/092022000343829","09.2022.00034382-9")</f>
        <v>09.2022.00034382-9</v>
      </c>
      <c r="D348" s="5">
        <v>45449</v>
      </c>
      <c r="E348" s="9" t="str">
        <f>HYPERLINK("https://www8.mpce.mp.br/Empenhos/150001/Objeto/10-2023.pdf","EMPENHO DO ALUGUEL DO MÊS DE JULHO DE 2024, REF. AO IMÓVEL ONDE FUNCIONAM AS PROMOTORIAS DE JUSTIÇA DA COMARCA DE ITAPAJÉ, CONF. CONTRATO DE LOCAÇÃO: 010/2023/PGJ.")</f>
        <v>EMPENHO DO ALUGUEL DO MÊS DE JULHO DE 2024, REF. AO IMÓVEL ONDE FUNCIONAM AS PROMOTORIAS DE JUSTIÇA DA COMARCA DE ITAPAJÉ, CONF. CONTRATO DE LOCAÇÃO: 010/2023/PGJ.</v>
      </c>
      <c r="F348" s="3" t="s">
        <v>127</v>
      </c>
      <c r="G348" s="6" t="str">
        <f>HYPERLINK("http://www8.mpce.mp.br/Empenhos/150501/NE/2024NE000538.pdf","2024NE000538")</f>
        <v>2024NE000538</v>
      </c>
      <c r="H348" s="7">
        <v>13612</v>
      </c>
      <c r="I348" s="8" t="s">
        <v>140</v>
      </c>
      <c r="J348" s="12" t="s">
        <v>141</v>
      </c>
    </row>
    <row r="349" spans="1:10" ht="51" x14ac:dyDescent="0.25">
      <c r="A349" s="2" t="s">
        <v>45</v>
      </c>
      <c r="B349" s="3" t="s">
        <v>578</v>
      </c>
      <c r="C349" s="4" t="str">
        <f>HYPERLINK("https://transparencia-area-fim.mpce.mp.br/#/consulta/processo/pastadigital/092022000230870","09.2022.00023087-0")</f>
        <v>09.2022.00023087-0</v>
      </c>
      <c r="D349" s="5">
        <v>45449</v>
      </c>
      <c r="E349" s="9" t="str">
        <f>HYPERLINK("https://www8.mpce.mp.br/Empenhos/150001/Objeto/29-2022.pdf","EMPENHO DO ALUGUEL DO MÊS DE JULHO DE 2024, REF. AO IMÓVEL ONDE FUNCIONAM AS PROMOTORIAS DE JUSTIÇA DA COMARCA DE JUAZEIRO DO NORTE, CONF. CONTRATO DE LOCAÇÃO: 029/2022/PGJ.")</f>
        <v>EMPENHO DO ALUGUEL DO MÊS DE JULHO DE 2024, REF. AO IMÓVEL ONDE FUNCIONAM AS PROMOTORIAS DE JUSTIÇA DA COMARCA DE JUAZEIRO DO NORTE, CONF. CONTRATO DE LOCAÇÃO: 029/2022/PGJ.</v>
      </c>
      <c r="F349" s="3" t="s">
        <v>127</v>
      </c>
      <c r="G349" s="6" t="str">
        <f>HYPERLINK("http://www8.mpce.mp.br/Empenhos/150501/NE/2024NE000539.pdf","2024NE000539")</f>
        <v>2024NE000539</v>
      </c>
      <c r="H349" s="7">
        <v>66161.41</v>
      </c>
      <c r="I349" s="8" t="s">
        <v>143</v>
      </c>
      <c r="J349" s="12" t="s">
        <v>144</v>
      </c>
    </row>
    <row r="350" spans="1:10" ht="51" x14ac:dyDescent="0.25">
      <c r="A350" s="2" t="s">
        <v>45</v>
      </c>
      <c r="B350" s="3" t="s">
        <v>579</v>
      </c>
      <c r="C350" s="4" t="str">
        <f>HYPERLINK("https://transparencia-area-fim.mpce.mp.br/#/consulta/processo/pastadigital/092021000244282","09.2021.00024428-2")</f>
        <v>09.2021.00024428-2</v>
      </c>
      <c r="D350" s="5">
        <v>45449</v>
      </c>
      <c r="E350" s="9" t="str">
        <f>HYPERLINK("https://www8.mpce.mp.br/Empenhos/150001/Objeto/18-2022.pdf","EMPENHO DO ALUGUEL DO MÊS DE JULHO DE 2024, REF. AO IMÓVEL ONDE FUNCIONAM AS PROMOTORIAS DE JUSTIÇA DA COMARCA DE CRATEÚS, CONF. CONTRATO DE LOCAÇÃO: 018/2022/PGJ.")</f>
        <v>EMPENHO DO ALUGUEL DO MÊS DE JULHO DE 2024, REF. AO IMÓVEL ONDE FUNCIONAM AS PROMOTORIAS DE JUSTIÇA DA COMARCA DE CRATEÚS, CONF. CONTRATO DE LOCAÇÃO: 018/2022/PGJ.</v>
      </c>
      <c r="F350" s="3" t="s">
        <v>127</v>
      </c>
      <c r="G350" s="6" t="str">
        <f>HYPERLINK("http://www8.mpce.mp.br/Empenhos/150501/NE/2024NE000540.pdf","2024NE000540")</f>
        <v>2024NE000540</v>
      </c>
      <c r="H350" s="7">
        <v>26000.1</v>
      </c>
      <c r="I350" s="8" t="s">
        <v>145</v>
      </c>
      <c r="J350" s="12" t="s">
        <v>146</v>
      </c>
    </row>
    <row r="351" spans="1:10" ht="51" x14ac:dyDescent="0.25">
      <c r="A351" s="2" t="s">
        <v>45</v>
      </c>
      <c r="B351" s="3" t="s">
        <v>580</v>
      </c>
      <c r="C351" s="4" t="str">
        <f>HYPERLINK("https://transparencia-area-fim.mpce.mp.br/#/consulta/processo/pastadigital/092022000081432","09.2022.00008143-2")</f>
        <v>09.2022.00008143-2</v>
      </c>
      <c r="D351" s="5">
        <v>45449</v>
      </c>
      <c r="E351" s="9" t="str">
        <f>HYPERLINK("https://www8.mpce.mp.br/Empenhos/150001/Objeto/16-2022.pdf","EMPENHO DO ALUGUEL DO MÊS DE JULHO DE 2024, REF. AO IMÓVEL ONDE FUNCIONAM AS PROMOTORIAS DE JUSTIÇA DA COMARCA DE BARBALHA, CONF. CONTRATO DE LOCAÇÃO: 016/2022/PGJ.")</f>
        <v>EMPENHO DO ALUGUEL DO MÊS DE JULHO DE 2024, REF. AO IMÓVEL ONDE FUNCIONAM AS PROMOTORIAS DE JUSTIÇA DA COMARCA DE BARBALHA, CONF. CONTRATO DE LOCAÇÃO: 016/2022/PGJ.</v>
      </c>
      <c r="F351" s="3" t="s">
        <v>127</v>
      </c>
      <c r="G351" s="6" t="str">
        <f>HYPERLINK("http://www8.mpce.mp.br/Empenhos/150501/NE/2024NE000541.pdf","2024NE000541")</f>
        <v>2024NE000541</v>
      </c>
      <c r="H351" s="7">
        <v>16434.259999999998</v>
      </c>
      <c r="I351" s="8" t="s">
        <v>143</v>
      </c>
      <c r="J351" s="12" t="s">
        <v>144</v>
      </c>
    </row>
    <row r="352" spans="1:10" ht="51" x14ac:dyDescent="0.25">
      <c r="A352" s="2" t="s">
        <v>45</v>
      </c>
      <c r="B352" s="3" t="s">
        <v>581</v>
      </c>
      <c r="C352" s="4" t="str">
        <f>HYPERLINK("https://transparencia-area-fim.mpce.mp.br/#/consulta/processo/pastadigital/092021000244271","09.2021.00024427-1")</f>
        <v>09.2021.00024427-1</v>
      </c>
      <c r="D352" s="5">
        <v>45449</v>
      </c>
      <c r="E352" s="9" t="str">
        <f>HYPERLINK("https://www8.mpce.mp.br/Empenhos/150001/Objeto/17-2022.pdf","EMPENHO DO ALUGUEL DO MÊS DE JULHO DE 2024, REF. AO IMÓVEL ONDE FUNCIONAM AS PROMOTORIAS DE JUSTIÇA DA COMARCA DE TIANGUÁ, CONF. CONTRATO DE LOCAÇÃO: 017/2022/PGJ.")</f>
        <v>EMPENHO DO ALUGUEL DO MÊS DE JULHO DE 2024, REF. AO IMÓVEL ONDE FUNCIONAM AS PROMOTORIAS DE JUSTIÇA DA COMARCA DE TIANGUÁ, CONF. CONTRATO DE LOCAÇÃO: 017/2022/PGJ.</v>
      </c>
      <c r="F352" s="3" t="s">
        <v>127</v>
      </c>
      <c r="G352" s="6" t="str">
        <f>HYPERLINK("http://www8.mpce.mp.br/Empenhos/150501/NE/2024NE000542.pdf","2024NE000542")</f>
        <v>2024NE000542</v>
      </c>
      <c r="H352" s="7">
        <v>26000</v>
      </c>
      <c r="I352" s="8" t="s">
        <v>186</v>
      </c>
      <c r="J352" s="12" t="s">
        <v>187</v>
      </c>
    </row>
    <row r="353" spans="1:10" ht="63.75" x14ac:dyDescent="0.25">
      <c r="A353" s="2" t="s">
        <v>45</v>
      </c>
      <c r="B353" s="3" t="s">
        <v>582</v>
      </c>
      <c r="C353" s="4" t="str">
        <f>HYPERLINK("https://transparencia-area-fim.mpce.mp.br/#/consulta/processo/pastadigital/092024000159002","09.2024.00015900-2")</f>
        <v>09.2024.00015900-2</v>
      </c>
      <c r="D353" s="5">
        <v>45449</v>
      </c>
      <c r="E353" s="9" t="str">
        <f>HYPERLINK("https://www8.mpce.mp.br/Empenhos/150001/Objeto/39-2024.pdf","EMPENHO REF. LOCAÇÃO DE NOBREAK DE 3 KVA, CONF. TERMO DE DEFERIMENTO DA CONTRATAÇÃO DIRETA (DISPENSA DE LICITAÇÃO) E CONTRATO 039/2024, REF. JUN (20 DIAS PROPORCIONAIS), JUL, AGO E SET/2024, POR ESTIMATIVA.")</f>
        <v>EMPENHO REF. LOCAÇÃO DE NOBREAK DE 3 KVA, CONF. TERMO DE DEFERIMENTO DA CONTRATAÇÃO DIRETA (DISPENSA DE LICITAÇÃO) E CONTRATO 039/2024, REF. JUN (20 DIAS PROPORCIONAIS), JUL, AGO E SET/2024, POR ESTIMATIVA.</v>
      </c>
      <c r="F353" s="3" t="s">
        <v>583</v>
      </c>
      <c r="G353" s="6" t="str">
        <f>HYPERLINK("http://www8.mpce.mp.br/Empenhos/150501/NE/2024NE000543.pdf","2024NE000543")</f>
        <v>2024NE000543</v>
      </c>
      <c r="H353" s="7">
        <v>33000</v>
      </c>
      <c r="I353" s="8" t="s">
        <v>584</v>
      </c>
      <c r="J353" s="12" t="s">
        <v>585</v>
      </c>
    </row>
    <row r="354" spans="1:10" ht="51" x14ac:dyDescent="0.25">
      <c r="A354" s="2" t="s">
        <v>45</v>
      </c>
      <c r="B354" s="3" t="s">
        <v>586</v>
      </c>
      <c r="C354" s="4" t="str">
        <f>HYPERLINK("https://transparencia-area-fim.mpce.mp.br/#/consulta/processo/pastadigital/092021000244449","09.2021.00024444-9")</f>
        <v>09.2021.00024444-9</v>
      </c>
      <c r="D354" s="5">
        <v>45449</v>
      </c>
      <c r="E354" s="9" t="str">
        <f>HYPERLINK("https://www8.mpce.mp.br/Empenhos/150001/Objeto/12-2022.pdf","EMPENHO DO ALUGUEL DO MÊS DE JULHO DE 2024, REF. AO IMÓVEL ONDE FUNCIONAM AS PROMOTORIAS DE JUSTIÇA DA COMARCA DE RUSSAS, CONF. CONTRATO DE LOCAÇÃO: 012/2022/PGJ.")</f>
        <v>EMPENHO DO ALUGUEL DO MÊS DE JULHO DE 2024, REF. AO IMÓVEL ONDE FUNCIONAM AS PROMOTORIAS DE JUSTIÇA DA COMARCA DE RUSSAS, CONF. CONTRATO DE LOCAÇÃO: 012/2022/PGJ.</v>
      </c>
      <c r="F354" s="3" t="s">
        <v>127</v>
      </c>
      <c r="G354" s="6" t="str">
        <f>HYPERLINK("http://www8.mpce.mp.br/Empenhos/150501/NE/2024NE000544.pdf","2024NE000544")</f>
        <v>2024NE000544</v>
      </c>
      <c r="H354" s="7">
        <v>20900</v>
      </c>
      <c r="I354" s="8" t="s">
        <v>140</v>
      </c>
      <c r="J354" s="12" t="s">
        <v>141</v>
      </c>
    </row>
    <row r="355" spans="1:10" ht="51" x14ac:dyDescent="0.25">
      <c r="A355" s="2" t="s">
        <v>45</v>
      </c>
      <c r="B355" s="3" t="s">
        <v>587</v>
      </c>
      <c r="C355" s="4" t="str">
        <f>HYPERLINK("https://transparencia-area-fim.mpce.mp.br/#/consulta/processo/pastadigital/092021000244582","09.2021.00024458-2")</f>
        <v>09.2021.00024458-2</v>
      </c>
      <c r="D355" s="5">
        <v>45449</v>
      </c>
      <c r="E355" s="9" t="str">
        <f>HYPERLINK("https://www8.mpce.mp.br/Empenhos/150001/Objeto/11-2022.pdf","EMPENHO DO ALUGUEL DO MÊS DE JULHO DE 2024, REF. AO IMÓVEL ONDE FUNCIONAM AS PROMOTORIAS DE JUSTIÇA DA COMARCA DE ARACATI, CONF. CONTRATO DE LOCAÇÃO: 011/2022/PGJ.")</f>
        <v>EMPENHO DO ALUGUEL DO MÊS DE JULHO DE 2024, REF. AO IMÓVEL ONDE FUNCIONAM AS PROMOTORIAS DE JUSTIÇA DA COMARCA DE ARACATI, CONF. CONTRATO DE LOCAÇÃO: 011/2022/PGJ.</v>
      </c>
      <c r="F355" s="3" t="s">
        <v>127</v>
      </c>
      <c r="G355" s="6" t="str">
        <f>HYPERLINK("http://www8.mpce.mp.br/Empenhos/150501/NE/2024NE000546.pdf","2024NE000546")</f>
        <v>2024NE000546</v>
      </c>
      <c r="H355" s="7">
        <v>18465</v>
      </c>
      <c r="I355" s="8" t="s">
        <v>182</v>
      </c>
      <c r="J355" s="12" t="s">
        <v>183</v>
      </c>
    </row>
    <row r="356" spans="1:10" ht="51" x14ac:dyDescent="0.25">
      <c r="A356" s="2" t="s">
        <v>45</v>
      </c>
      <c r="B356" s="3" t="s">
        <v>588</v>
      </c>
      <c r="C356" s="4" t="str">
        <f>HYPERLINK("https://transparencia-area-fim.mpce.mp.br/#/consulta/processo/pastadigital/092021000244550","09.2021.00024455-0")</f>
        <v>09.2021.00024455-0</v>
      </c>
      <c r="D356" s="5">
        <v>45449</v>
      </c>
      <c r="E356" s="9" t="str">
        <f>HYPERLINK("https://www8.mpce.mp.br/Empenhos/150001/Objeto/10-2022.pdf","EMPENHO DO ALUGUEL DO MÊS DE JULHO DE2024, REF. AO IMÓVEL ONDE FUNCIONAM AS PROMOTORIAS DE JUSTIÇA DA COMARCA DE ICÓ, CONF. CONTRATO DE LOCAÇÃO: 010/2022/PGJ. ")</f>
        <v xml:space="preserve">EMPENHO DO ALUGUEL DO MÊS DE JULHO DE2024, REF. AO IMÓVEL ONDE FUNCIONAM AS PROMOTORIAS DE JUSTIÇA DA COMARCA DE ICÓ, CONF. CONTRATO DE LOCAÇÃO: 010/2022/PGJ. </v>
      </c>
      <c r="F356" s="3" t="s">
        <v>127</v>
      </c>
      <c r="G356" s="6" t="str">
        <f>HYPERLINK("http://www8.mpce.mp.br/Empenhos/150501/NE/2024NE000547.pdf","2024NE000547")</f>
        <v>2024NE000547</v>
      </c>
      <c r="H356" s="7">
        <v>13486.5</v>
      </c>
      <c r="I356" s="8" t="s">
        <v>435</v>
      </c>
      <c r="J356" s="12" t="s">
        <v>436</v>
      </c>
    </row>
    <row r="357" spans="1:10" ht="56.25" x14ac:dyDescent="0.25">
      <c r="A357" s="2" t="s">
        <v>45</v>
      </c>
      <c r="B357" s="3" t="s">
        <v>589</v>
      </c>
      <c r="C357" s="4" t="str">
        <f>HYPERLINK("https://transparencia-area-fim.mpce.mp.br/#/consulta/processo/pastadigital/092021000064195","09.2021.00006419-5")</f>
        <v>09.2021.00006419-5</v>
      </c>
      <c r="D357" s="5">
        <v>45449</v>
      </c>
      <c r="E357" s="9" t="str">
        <f>HYPERLINK("https://www8.mpce.mp.br/Empenhos/150001/Objeto/41-2021.pdf","ALUGUEL DE IMÓVEL ONDE FUNCIONA SEDE DE PROMOTORIAS DE JUSTIÇA DA COMARCA DE QUIXADÁ, CONF. CONTRATO 041/2021, REF. JUL/2024, POR ESTIMATIVA.")</f>
        <v>ALUGUEL DE IMÓVEL ONDE FUNCIONA SEDE DE PROMOTORIAS DE JUSTIÇA DA COMARCA DE QUIXADÁ, CONF. CONTRATO 041/2021, REF. JUL/2024, POR ESTIMATIVA.</v>
      </c>
      <c r="F357" s="3" t="s">
        <v>127</v>
      </c>
      <c r="G357" s="6" t="str">
        <f>HYPERLINK("http://www8.mpce.mp.br/Empenhos/150501/NE/2024NE000548.pdf","2024NE000548")</f>
        <v>2024NE000548</v>
      </c>
      <c r="H357" s="7">
        <v>18900</v>
      </c>
      <c r="I357" s="8" t="s">
        <v>140</v>
      </c>
      <c r="J357" s="12" t="s">
        <v>141</v>
      </c>
    </row>
    <row r="358" spans="1:10" ht="51" x14ac:dyDescent="0.25">
      <c r="A358" s="2" t="s">
        <v>45</v>
      </c>
      <c r="B358" s="3" t="s">
        <v>590</v>
      </c>
      <c r="C358" s="4" t="str">
        <f>HYPERLINK("https://transparencia-area-fim.mpce.mp.br/#/consulta/processo/pastadigital/092021000063220","09.2021.00006322-0")</f>
        <v>09.2021.00006322-0</v>
      </c>
      <c r="D358" s="5">
        <v>45449</v>
      </c>
      <c r="E358" s="9" t="str">
        <f>HYPERLINK("https://www8.mpce.mp.br/Empenhos/150001/Objeto/33-2021.pdf","EMPENHO REF. ALUGUEL DE IMÓVEL ONDE FUNCIONA SEDE DE PROMOTORIAS DE JUSTIÇA DA COMARCA DE SOBRAL, CONF. CONTRATO 033/2021, REF. JUL/2024, POR ESTIMATIVA.")</f>
        <v>EMPENHO REF. ALUGUEL DE IMÓVEL ONDE FUNCIONA SEDE DE PROMOTORIAS DE JUSTIÇA DA COMARCA DE SOBRAL, CONF. CONTRATO 033/2021, REF. JUL/2024, POR ESTIMATIVA.</v>
      </c>
      <c r="F358" s="3" t="s">
        <v>127</v>
      </c>
      <c r="G358" s="6" t="str">
        <f>HYPERLINK("http://www8.mpce.mp.br/Empenhos/150501/NE/2024NE000549.pdf","2024NE000549")</f>
        <v>2024NE000549</v>
      </c>
      <c r="H358" s="7">
        <v>33400.11</v>
      </c>
      <c r="I358" s="8" t="s">
        <v>145</v>
      </c>
      <c r="J358" s="12" t="s">
        <v>146</v>
      </c>
    </row>
    <row r="359" spans="1:10" ht="63.75" x14ac:dyDescent="0.25">
      <c r="A359" s="2" t="s">
        <v>20</v>
      </c>
      <c r="B359" s="3" t="s">
        <v>591</v>
      </c>
      <c r="C359" s="4" t="str">
        <f>HYPERLINK("https://transparencia-area-fim.mpce.mp.br/#/consulta/processo/pastadigital/092024000122126","09.2024.00012212-6")</f>
        <v>09.2024.00012212-6</v>
      </c>
      <c r="D359" s="5">
        <v>45449</v>
      </c>
      <c r="E359" s="9" t="str">
        <f>HYPERLINK("https://www8.mpce.mp.br/Empenhos/150001/Objeto/34-2024.pdf","EMPENHO REF. TREINAMENTO IN COMPANY COM O TEMA: JORNADA DE LIDERANÇA - SERVIDORES, TURMAS 01 E 02, POR MEIO DE INEXIGIBILIDADE DE LICITAÇÃO, CONF. CONTRATO 034/2024 E ORDEM DE SERVIÇO 011/2024/SEGEP, REF. JUL/2024, POR ESTIMATIVA.")</f>
        <v>EMPENHO REF. TREINAMENTO IN COMPANY COM O TEMA: JORNADA DE LIDERANÇA - SERVIDORES, TURMAS 01 E 02, POR MEIO DE INEXIGIBILIDADE DE LICITAÇÃO, CONF. CONTRATO 034/2024 E ORDEM DE SERVIÇO 011/2024/SEGEP, REF. JUL/2024, POR ESTIMATIVA.</v>
      </c>
      <c r="F359" s="3" t="s">
        <v>399</v>
      </c>
      <c r="G359" s="6" t="str">
        <f>HYPERLINK("http://www8.mpce.mp.br/Empenhos/150501/NE/2024NE000550.pdf","2024NE000550")</f>
        <v>2024NE000550</v>
      </c>
      <c r="H359" s="7">
        <v>24300</v>
      </c>
      <c r="I359" s="8" t="s">
        <v>592</v>
      </c>
      <c r="J359" s="12" t="s">
        <v>593</v>
      </c>
    </row>
    <row r="360" spans="1:10" ht="51" x14ac:dyDescent="0.25">
      <c r="A360" s="2" t="s">
        <v>45</v>
      </c>
      <c r="B360" s="3" t="s">
        <v>594</v>
      </c>
      <c r="C360" s="4" t="str">
        <f>HYPERLINK("https://transparencia-area-fim.mpce.mp.br/#/consulta/processo/pastadigital/092021000065217","09.2021.00006521-7")</f>
        <v>09.2021.00006521-7</v>
      </c>
      <c r="D360" s="5">
        <v>45450</v>
      </c>
      <c r="E360" s="9" t="str">
        <f>HYPERLINK("https://www8.mpce.mp.br/Empenhos/150001/Objeto/38-2021.pdf","EMPENHO DO ALUGUEL DO MÊS DE JULHO DE 2024, REF. AO IMÓVEL ONDE FUNCIONAM AS PROMOTORIAS DE JUSTIÇA DA COMARCA DE TAUÁ, CONF. CONTRATO DE LOCAÇÃO: 038/2021/PGJ.")</f>
        <v>EMPENHO DO ALUGUEL DO MÊS DE JULHO DE 2024, REF. AO IMÓVEL ONDE FUNCIONAM AS PROMOTORIAS DE JUSTIÇA DA COMARCA DE TAUÁ, CONF. CONTRATO DE LOCAÇÃO: 038/2021/PGJ.</v>
      </c>
      <c r="F360" s="3" t="s">
        <v>127</v>
      </c>
      <c r="G360" s="6" t="str">
        <f>HYPERLINK("http://www8.mpce.mp.br/Empenhos/150501/NE/2024NE000551.pdf","2024NE000551")</f>
        <v>2024NE000551</v>
      </c>
      <c r="H360" s="7">
        <v>18000</v>
      </c>
      <c r="I360" s="8" t="s">
        <v>157</v>
      </c>
      <c r="J360" s="12" t="s">
        <v>158</v>
      </c>
    </row>
    <row r="361" spans="1:10" ht="51" x14ac:dyDescent="0.25">
      <c r="A361" s="2" t="s">
        <v>45</v>
      </c>
      <c r="B361" s="3" t="s">
        <v>595</v>
      </c>
      <c r="C361" s="4" t="str">
        <f>HYPERLINK("http://www8.mpce.mp.br/Dispensa/1984020196.pdf","19840/2019-6")</f>
        <v>19840/2019-6</v>
      </c>
      <c r="D361" s="5">
        <v>45450</v>
      </c>
      <c r="E361" s="9" t="str">
        <f>HYPERLINK("https://www8.mpce.mp.br/Empenhos/150001/Objeto/48-2019.pdf","EMPENHO DO ALUGUEL DO MÊS DE JULHO DE 2024, REF. AO IMÓVEL ONDE FUNCIONAM AS PROMOTORIAS DE JUSTIÇA DA COMARCA DE CAUCAIA, CONF. CONTRATO DE LOCAÇÃO: 048/2019/PGJ.")</f>
        <v>EMPENHO DO ALUGUEL DO MÊS DE JULHO DE 2024, REF. AO IMÓVEL ONDE FUNCIONAM AS PROMOTORIAS DE JUSTIÇA DA COMARCA DE CAUCAIA, CONF. CONTRATO DE LOCAÇÃO: 048/2019/PGJ.</v>
      </c>
      <c r="F361" s="3" t="s">
        <v>127</v>
      </c>
      <c r="G361" s="6" t="str">
        <f>HYPERLINK("http://www8.mpce.mp.br/Empenhos/150501/NE/2024NE000552.pdf","2024NE000552")</f>
        <v>2024NE000552</v>
      </c>
      <c r="H361" s="7">
        <v>45512.77</v>
      </c>
      <c r="I361" s="8" t="s">
        <v>162</v>
      </c>
      <c r="J361" s="12" t="s">
        <v>163</v>
      </c>
    </row>
    <row r="362" spans="1:10" ht="51" x14ac:dyDescent="0.25">
      <c r="A362" s="2" t="s">
        <v>45</v>
      </c>
      <c r="B362" s="3" t="s">
        <v>596</v>
      </c>
      <c r="C362" s="4" t="str">
        <f>HYPERLINK("https://transparencia-area-fim.mpce.mp.br/#/consulta/processo/pastadigital/092022000197876","09.2022.00019787-6")</f>
        <v>09.2022.00019787-6</v>
      </c>
      <c r="D362" s="5">
        <v>45450</v>
      </c>
      <c r="E362" s="9" t="str">
        <f>HYPERLINK("https://www8.mpce.mp.br/Empenhos/150001/Objeto/02-2023.pdf","EMPENHO DO ALUGUEL DO MÊS DE JULHO DE 2024, REF. AO IMÓVEL ONDE FUNCIONA O NÚCLEO DE MEDIAÇÃO COMUNITÁRIA DO BOM JARDIM, CONF. CONTRATO DE LOCAÇÃO: 002/2023/PGJ.")</f>
        <v>EMPENHO DO ALUGUEL DO MÊS DE JULHO DE 2024, REF. AO IMÓVEL ONDE FUNCIONA O NÚCLEO DE MEDIAÇÃO COMUNITÁRIA DO BOM JARDIM, CONF. CONTRATO DE LOCAÇÃO: 002/2023/PGJ.</v>
      </c>
      <c r="F362" s="3" t="s">
        <v>127</v>
      </c>
      <c r="G362" s="6" t="str">
        <f>HYPERLINK("http://www8.mpce.mp.br/Empenhos/150501/NE/2024NE000553.pdf","2024NE000553")</f>
        <v>2024NE000553</v>
      </c>
      <c r="H362" s="7">
        <v>5600</v>
      </c>
      <c r="I362" s="8" t="s">
        <v>134</v>
      </c>
      <c r="J362" s="12" t="s">
        <v>135</v>
      </c>
    </row>
    <row r="363" spans="1:10" ht="51" x14ac:dyDescent="0.25">
      <c r="A363" s="2" t="s">
        <v>45</v>
      </c>
      <c r="B363" s="3" t="s">
        <v>597</v>
      </c>
      <c r="C363" s="4" t="str">
        <f>HYPERLINK("http://www8.mpce.mp.br/Dispensa/842220170.pdf","8422/20170")</f>
        <v>8422/20170</v>
      </c>
      <c r="D363" s="5">
        <v>45450</v>
      </c>
      <c r="E363" s="9" t="str">
        <f>HYPERLINK("https://www8.mpce.mp.br/Empenhos/150001/Objeto/16-2017.pdf","EMPENHO DO ALUGUEL DO MÊS DE JULHO DE 2024, REF. AO IMÓVEL ONDE FUNCIONAM AS PROMOTORIAS DE JUSTIÇA CRIMINAIS DE FORTALEZA, CONF. CONTRATO DE LOCAÇÃO: 016/2017/PGJ.")</f>
        <v>EMPENHO DO ALUGUEL DO MÊS DE JULHO DE 2024, REF. AO IMÓVEL ONDE FUNCIONAM AS PROMOTORIAS DE JUSTIÇA CRIMINAIS DE FORTALEZA, CONF. CONTRATO DE LOCAÇÃO: 016/2017/PGJ.</v>
      </c>
      <c r="F363" s="3" t="s">
        <v>127</v>
      </c>
      <c r="G363" s="6" t="str">
        <f>HYPERLINK("http://www8.mpce.mp.br/Empenhos/150501/NE/2024NE000554.pdf","2024NE000554")</f>
        <v>2024NE000554</v>
      </c>
      <c r="H363" s="7">
        <v>58910.97</v>
      </c>
      <c r="I363" s="8" t="s">
        <v>169</v>
      </c>
      <c r="J363" s="12" t="s">
        <v>170</v>
      </c>
    </row>
    <row r="364" spans="1:10" ht="38.25" x14ac:dyDescent="0.25">
      <c r="A364" s="2" t="s">
        <v>45</v>
      </c>
      <c r="B364" s="3" t="s">
        <v>598</v>
      </c>
      <c r="C364" s="4" t="str">
        <f>HYPERLINK("http://www8.mpce.mp.br/Dispensa/4793720162.pdf","4793720162")</f>
        <v>4793720162</v>
      </c>
      <c r="D364" s="5">
        <v>45450</v>
      </c>
      <c r="E364" s="9" t="str">
        <f>HYPERLINK("https://www8.mpce.mp.br/Empenhos/150001/Objeto/14-2017.pdf","EMPENHO DO ALUGUEL DO MÊS DE JULHO DE2024, REF. AO IMÓVEL ONDE FUNCIONA O ALMOXARIFADO E PATRIMÔNIO, CONF. CONTRATO DE LOCAÇÃO: 014/2017/PGJ.")</f>
        <v>EMPENHO DO ALUGUEL DO MÊS DE JULHO DE2024, REF. AO IMÓVEL ONDE FUNCIONA O ALMOXARIFADO E PATRIMÔNIO, CONF. CONTRATO DE LOCAÇÃO: 014/2017/PGJ.</v>
      </c>
      <c r="F364" s="3" t="s">
        <v>127</v>
      </c>
      <c r="G364" s="6" t="str">
        <f>HYPERLINK("http://www8.mpce.mp.br/Empenhos/150501/NE/2024NE000555.pdf","2024NE000555")</f>
        <v>2024NE000555</v>
      </c>
      <c r="H364" s="7">
        <v>22143.48</v>
      </c>
      <c r="I364" s="8" t="s">
        <v>164</v>
      </c>
      <c r="J364" s="12" t="s">
        <v>165</v>
      </c>
    </row>
    <row r="365" spans="1:10" ht="38.25" x14ac:dyDescent="0.25">
      <c r="A365" s="2" t="s">
        <v>20</v>
      </c>
      <c r="B365" s="3" t="s">
        <v>599</v>
      </c>
      <c r="C365" s="4" t="str">
        <f>HYPERLINK("https://transparencia-area-fim.mpce.mp.br/#/consulta/processo/pastadigital/092023000293915","09.2023.00029391-5")</f>
        <v>09.2023.00029391-5</v>
      </c>
      <c r="D365" s="5">
        <v>45450</v>
      </c>
      <c r="E365" s="9" t="str">
        <f>HYPERLINK("https://www8.mpce.mp.br/Empenhos/150001/Objeto/54-2023.pdf","EMPENHO DO ALUGUEL DO MÊS DE JULHO DE 2024, REF. AO IMÓVEL ONDE FUNCIONA O ALMOXARIFADO E PATRIMÔNIO, CONF. LOCAÇÃO: 054/2023/PGJ.")</f>
        <v>EMPENHO DO ALUGUEL DO MÊS DE JULHO DE 2024, REF. AO IMÓVEL ONDE FUNCIONA O ALMOXARIFADO E PATRIMÔNIO, CONF. LOCAÇÃO: 054/2023/PGJ.</v>
      </c>
      <c r="F365" s="3" t="s">
        <v>127</v>
      </c>
      <c r="G365" s="6" t="str">
        <f>HYPERLINK("http://www8.mpce.mp.br/Empenhos/150501/NE/2024NE000556.pdf","2024NE000556")</f>
        <v>2024NE000556</v>
      </c>
      <c r="H365" s="7">
        <v>22000</v>
      </c>
      <c r="I365" s="8" t="s">
        <v>164</v>
      </c>
      <c r="J365" s="12" t="s">
        <v>165</v>
      </c>
    </row>
    <row r="366" spans="1:10" ht="63.75" x14ac:dyDescent="0.25">
      <c r="A366" s="2" t="s">
        <v>45</v>
      </c>
      <c r="B366" s="3" t="s">
        <v>600</v>
      </c>
      <c r="C366" s="4" t="str">
        <f>HYPERLINK("https://transparencia-area-fim.mpce.mp.br/#/consulta/processo/pastadigital/092023000388810","09.2023.00038881-0")</f>
        <v>09.2023.00038881-0</v>
      </c>
      <c r="D366" s="5">
        <v>45454</v>
      </c>
      <c r="E366" s="9" t="str">
        <f>HYPERLINK("https://www8.mpce.mp.br/Empenhos/150001/Objeto/22-2024.pdf","EMPENHO REF. SERVIÇOS DE SOLUÇÃO EM NUVEM DE PROTEÇÃO, GESTÃO, AVALIAÇÃO DE POSTURA E CONECTIVIDADE PARA NUVEM, INCLUINDO IMPLANTAÇÃO, MONITORAMENTO E SUPORTE TÉCNICO, CONF. CONTRATO 022/2024, REF. JUN/2024, POR ESTIMATIVA.")</f>
        <v>EMPENHO REF. SERVIÇOS DE SOLUÇÃO EM NUVEM DE PROTEÇÃO, GESTÃO, AVALIAÇÃO DE POSTURA E CONECTIVIDADE PARA NUVEM, INCLUINDO IMPLANTAÇÃO, MONITORAMENTO E SUPORTE TÉCNICO, CONF. CONTRATO 022/2024, REF. JUN/2024, POR ESTIMATIVA.</v>
      </c>
      <c r="F366" s="3" t="s">
        <v>572</v>
      </c>
      <c r="G366" s="6" t="str">
        <f>HYPERLINK("http://www8.mpce.mp.br/Empenhos/150501/NE/2024NE000558.pdf","2024NE000558")</f>
        <v>2024NE000558</v>
      </c>
      <c r="H366" s="7">
        <v>35718.5</v>
      </c>
      <c r="I366" s="8" t="s">
        <v>255</v>
      </c>
      <c r="J366" s="12" t="s">
        <v>256</v>
      </c>
    </row>
    <row r="367" spans="1:10" ht="38.25" x14ac:dyDescent="0.25">
      <c r="A367" s="2" t="s">
        <v>20</v>
      </c>
      <c r="B367" s="3" t="s">
        <v>601</v>
      </c>
      <c r="C367" s="4" t="str">
        <f>HYPERLINK("http://www8.mpce.mp.br/Inexigibilidade/2903020176.pdf","29030/2017-6")</f>
        <v>29030/2017-6</v>
      </c>
      <c r="D367" s="5">
        <v>45455</v>
      </c>
      <c r="E367" s="9" t="str">
        <f>HYPERLINK("https://www8.mpce.mp.br/Empenhos/150001/Objeto/31-2018.pdf","EMPENHO REF. SERVIÇO DO SAJ-MP - SUPORTE 1º NÍVEL, CONF. CONTRATO 031/2018 E PROJETO 052/2023/FRMMP, REF. JUN/2024, POR ESTIMATIVA.")</f>
        <v>EMPENHO REF. SERVIÇO DO SAJ-MP - SUPORTE 1º NÍVEL, CONF. CONTRATO 031/2018 E PROJETO 052/2023/FRMMP, REF. JUN/2024, POR ESTIMATIVA.</v>
      </c>
      <c r="F367" s="3" t="s">
        <v>82</v>
      </c>
      <c r="G367" s="6" t="str">
        <f>HYPERLINK("http://www8.mpce.mp.br/Empenhos/150501/NE/2024NE000560.pdf","2024NE000560")</f>
        <v>2024NE000560</v>
      </c>
      <c r="H367" s="7">
        <v>75338.100000000006</v>
      </c>
      <c r="I367" s="8" t="s">
        <v>83</v>
      </c>
      <c r="J367" s="12" t="s">
        <v>84</v>
      </c>
    </row>
    <row r="368" spans="1:10" ht="63.75" x14ac:dyDescent="0.25">
      <c r="A368" s="2" t="s">
        <v>45</v>
      </c>
      <c r="B368" s="3" t="s">
        <v>602</v>
      </c>
      <c r="C368" s="4" t="str">
        <f>HYPERLINK("http://www8.mpce.mp.br/Dispensa/6795020160.pdf","6795020160")</f>
        <v>6795020160</v>
      </c>
      <c r="D368" s="5">
        <v>45457</v>
      </c>
      <c r="E368" s="9" t="str">
        <f>HYPERLINK("https://www8.mpce.mp.br/Empenhos/150001/Objeto/08-2017.pdf","EMPENHO REF. ALUGUEL DE IMÓVEL SITUADO NA R. ACADÊMICO LUIZ AIRES DE ARAÚJO NETO, 243 - CENTRO, JARDIM-CE, ONDE FUNCIONA SEDE DE PROMOTORIAS DE JUSTIÇA DA COMARCA DE JARDIM, CONF. CONTRATO 008/2017, REF. JUL, AGO E SET/2024, POR ESTIMATIVA.")</f>
        <v>EMPENHO REF. ALUGUEL DE IMÓVEL SITUADO NA R. ACADÊMICO LUIZ AIRES DE ARAÚJO NETO, 243 - CENTRO, JARDIM-CE, ONDE FUNCIONA SEDE DE PROMOTORIAS DE JUSTIÇA DA COMARCA DE JARDIM, CONF. CONTRATO 008/2017, REF. JUL, AGO E SET/2024, POR ESTIMATIVA.</v>
      </c>
      <c r="F368" s="3" t="s">
        <v>172</v>
      </c>
      <c r="G368" s="6" t="str">
        <f>HYPERLINK("http://www8.mpce.mp.br/Empenhos/150501/NE/2024NE000566.pdf","2024NE000566")</f>
        <v>2024NE000566</v>
      </c>
      <c r="H368" s="7">
        <v>2040.09</v>
      </c>
      <c r="I368" s="8" t="s">
        <v>230</v>
      </c>
      <c r="J368" s="12" t="s">
        <v>231</v>
      </c>
    </row>
    <row r="369" spans="1:10" ht="51" x14ac:dyDescent="0.25">
      <c r="A369" s="2" t="s">
        <v>45</v>
      </c>
      <c r="B369" s="3" t="s">
        <v>603</v>
      </c>
      <c r="C369" s="4" t="str">
        <f>HYPERLINK("http://www8.mpce.mp.br/Dispensa/1320920133.pdf","13209/2013-3")</f>
        <v>13209/2013-3</v>
      </c>
      <c r="D369" s="5">
        <v>45457</v>
      </c>
      <c r="E369" s="9" t="str">
        <f>HYPERLINK("https://www8.mpce.mp.br/Empenhos/150001/Objeto/43-2013.pdf","EMPENHO REF. ALUGUEL DE IMÓVEL ONDE FUNCIONA SEDE DAS PROMOTORIAS DE JUSTIÇA DA COMARCA DE MORADA NOVA, CONF. CONTRATO 043/2013, REF. JUL, AGO E SET/2024, POR ESTIMATIVA.")</f>
        <v>EMPENHO REF. ALUGUEL DE IMÓVEL ONDE FUNCIONA SEDE DAS PROMOTORIAS DE JUSTIÇA DA COMARCA DE MORADA NOVA, CONF. CONTRATO 043/2013, REF. JUL, AGO E SET/2024, POR ESTIMATIVA.</v>
      </c>
      <c r="F369" s="3" t="s">
        <v>172</v>
      </c>
      <c r="G369" s="6" t="str">
        <f>HYPERLINK("http://www8.mpce.mp.br/Empenhos/150501/NE/2024NE000567.pdf","2024NE000567")</f>
        <v>2024NE000567</v>
      </c>
      <c r="H369" s="7">
        <v>24450.84</v>
      </c>
      <c r="I369" s="8" t="s">
        <v>188</v>
      </c>
      <c r="J369" s="12" t="s">
        <v>189</v>
      </c>
    </row>
    <row r="370" spans="1:10" ht="51" x14ac:dyDescent="0.25">
      <c r="A370" s="2" t="s">
        <v>45</v>
      </c>
      <c r="B370" s="3" t="s">
        <v>604</v>
      </c>
      <c r="C370" s="4" t="str">
        <f>HYPERLINK("http://www8.mpce.mp.br/Dispensa/146020136.pdf","1460/2013-6")</f>
        <v>1460/2013-6</v>
      </c>
      <c r="D370" s="5">
        <v>45457</v>
      </c>
      <c r="E370" s="9" t="str">
        <f>HYPERLINK("https://www8.mpce.mp.br/Empenhos/150001/Objeto/39-2013.pdf","EMPENHO REF. ALUGUEL DO IMÓVEL ONDE FUNCIONA A SEDE DAS PROMOTORIAS DE JUSTIÇA DA COMARCA DE CASCAVEL-CE, CONF. CONTRATO 039/2013, REF. JUL, AGO E SET/2024, POR ESTIMATIVA.")</f>
        <v>EMPENHO REF. ALUGUEL DO IMÓVEL ONDE FUNCIONA A SEDE DAS PROMOTORIAS DE JUSTIÇA DA COMARCA DE CASCAVEL-CE, CONF. CONTRATO 039/2013, REF. JUL, AGO E SET/2024, POR ESTIMATIVA.</v>
      </c>
      <c r="F370" s="3" t="s">
        <v>172</v>
      </c>
      <c r="G370" s="6" t="str">
        <f>HYPERLINK("http://www8.mpce.mp.br/Empenhos/150501/NE/2024NE000568.pdf","2024NE000568")</f>
        <v>2024NE000568</v>
      </c>
      <c r="H370" s="7">
        <v>13024.68</v>
      </c>
      <c r="I370" s="8" t="s">
        <v>243</v>
      </c>
      <c r="J370" s="12" t="s">
        <v>244</v>
      </c>
    </row>
    <row r="371" spans="1:10" ht="51" x14ac:dyDescent="0.25">
      <c r="A371" s="2" t="s">
        <v>45</v>
      </c>
      <c r="B371" s="3" t="s">
        <v>605</v>
      </c>
      <c r="C371" s="4" t="str">
        <f>HYPERLINK("http://www8.mpce.mp.br/Dispensa/575920103.pdf","5759/2010-3")</f>
        <v>5759/2010-3</v>
      </c>
      <c r="D371" s="5">
        <v>45457</v>
      </c>
      <c r="E371" s="9" t="str">
        <f>HYPERLINK("https://www8.mpce.mp.br/Empenhos/150001/Objeto/22-2010.pdf","EMPENHO REF. ALUGUEL DE IMÓVEL SITUADO EM GUAIÚBA-CE, ONDE FUNCIONA SEDE DE PROMOTORIAS DE JUSTIÇA DAQUELA COMARCA, CONF. CONTRATO 022/2010, REF. JUL, AGO E SET/2024, POR ESTIMATIVA.")</f>
        <v>EMPENHO REF. ALUGUEL DE IMÓVEL SITUADO EM GUAIÚBA-CE, ONDE FUNCIONA SEDE DE PROMOTORIAS DE JUSTIÇA DAQUELA COMARCA, CONF. CONTRATO 022/2010, REF. JUL, AGO E SET/2024, POR ESTIMATIVA.</v>
      </c>
      <c r="F371" s="3" t="s">
        <v>172</v>
      </c>
      <c r="G371" s="6" t="str">
        <f>HYPERLINK("http://www8.mpce.mp.br/Empenhos/150501/NE/2024NE000569.pdf","2024NE000569")</f>
        <v>2024NE000569</v>
      </c>
      <c r="H371" s="7">
        <v>7025.91</v>
      </c>
      <c r="I371" s="8" t="s">
        <v>222</v>
      </c>
      <c r="J371" s="12" t="s">
        <v>223</v>
      </c>
    </row>
    <row r="372" spans="1:10" ht="51" x14ac:dyDescent="0.25">
      <c r="A372" s="2" t="s">
        <v>45</v>
      </c>
      <c r="B372" s="3" t="s">
        <v>606</v>
      </c>
      <c r="C372" s="4" t="str">
        <f>HYPERLINK("http://www8.mpce.mp.br/Dispensa/2887720171.pdf","28877/2017-1")</f>
        <v>28877/2017-1</v>
      </c>
      <c r="D372" s="5">
        <v>45457</v>
      </c>
      <c r="E372" s="9" t="str">
        <f>HYPERLINK("https://www8.mpce.mp.br/Empenhos/150001/Objeto/24-2019.pdf","EMPENHO REF. ALUGUEL DE IMÓVEL ONDE FUNCIONA SEDE DE PROMOTORIAS DE JUSTIÇA DA COMARCA DE JAGUARIBE-CE, CONF. CONTRATO 024/2019, REF. JUL, AGO E SET/2024, POR ESTIMATIVA.")</f>
        <v>EMPENHO REF. ALUGUEL DE IMÓVEL ONDE FUNCIONA SEDE DE PROMOTORIAS DE JUSTIÇA DA COMARCA DE JAGUARIBE-CE, CONF. CONTRATO 024/2019, REF. JUL, AGO E SET/2024, POR ESTIMATIVA.</v>
      </c>
      <c r="F372" s="3" t="s">
        <v>127</v>
      </c>
      <c r="G372" s="6" t="str">
        <f>HYPERLINK("http://www8.mpce.mp.br/Empenhos/150501/NE/2024NE000570.pdf","2024NE000570")</f>
        <v>2024NE000570</v>
      </c>
      <c r="H372" s="7">
        <v>4294.05</v>
      </c>
      <c r="I372" s="8" t="s">
        <v>151</v>
      </c>
      <c r="J372" s="12" t="s">
        <v>152</v>
      </c>
    </row>
    <row r="373" spans="1:10" ht="51" x14ac:dyDescent="0.25">
      <c r="A373" s="2" t="s">
        <v>45</v>
      </c>
      <c r="B373" s="3" t="s">
        <v>607</v>
      </c>
      <c r="C373" s="4" t="str">
        <f>HYPERLINK("http://www8.mpce.mp.br/Dispensa/1955220197.pdf","19552/2019-7")</f>
        <v>19552/2019-7</v>
      </c>
      <c r="D373" s="5">
        <v>45457</v>
      </c>
      <c r="E373" s="9" t="str">
        <f>HYPERLINK("https://www8.mpce.mp.br/Empenhos/150001/Objeto/85-2019.pdf","EMPENHO REF. ALUGUEL DE IMÓVEL EM PARAIPABA-CE, ONDE FUNCIONA A SEDE DAS PROMOTORIAS DE JUSTIÇA DAQUELA COMARCA, CONF. CONTRATO 085/2019, REF. JUL, AGO E SET/2024, POR ESTIMATIVA.")</f>
        <v>EMPENHO REF. ALUGUEL DE IMÓVEL EM PARAIPABA-CE, ONDE FUNCIONA A SEDE DAS PROMOTORIAS DE JUSTIÇA DAQUELA COMARCA, CONF. CONTRATO 085/2019, REF. JUL, AGO E SET/2024, POR ESTIMATIVA.</v>
      </c>
      <c r="F373" s="3" t="s">
        <v>172</v>
      </c>
      <c r="G373" s="6" t="str">
        <f>HYPERLINK("http://www8.mpce.mp.br/Empenhos/150501/NE/2024NE000571.pdf","2024NE000571")</f>
        <v>2024NE000571</v>
      </c>
      <c r="H373" s="7">
        <v>3920.1</v>
      </c>
      <c r="I373" s="8" t="s">
        <v>197</v>
      </c>
      <c r="J373" s="12" t="s">
        <v>198</v>
      </c>
    </row>
    <row r="374" spans="1:10" ht="67.5" x14ac:dyDescent="0.25">
      <c r="A374" s="2" t="s">
        <v>45</v>
      </c>
      <c r="B374" s="3" t="s">
        <v>608</v>
      </c>
      <c r="C374" s="4" t="str">
        <f>HYPERLINK("http://www8.mpce.mp.br/Dispensa/2004820193.pdf","20048/2019-3")</f>
        <v>20048/2019-3</v>
      </c>
      <c r="D374" s="5">
        <v>45457</v>
      </c>
      <c r="E374" s="9" t="str">
        <f>HYPERLINK("https://www8.mpce.mp.br/Empenhos/150001/Objeto/84-2019.pdf","EMPENHO REF. LOCAÇÃO DE IMÓVEL EM MOMBAÇA-CE, ONDE FUNCIONA A SEDE DAS PROMOTORIAS DE JUSTIÇA DAQUELA COMARCA, CONF. CONTRATO 084/2019, REF. JUL, AGO E SET/2024, POR ESTIMATIVA.")</f>
        <v>EMPENHO REF. LOCAÇÃO DE IMÓVEL EM MOMBAÇA-CE, ONDE FUNCIONA A SEDE DAS PROMOTORIAS DE JUSTIÇA DAQUELA COMARCA, CONF. CONTRATO 084/2019, REF. JUL, AGO E SET/2024, POR ESTIMATIVA.</v>
      </c>
      <c r="F374" s="3" t="s">
        <v>172</v>
      </c>
      <c r="G374" s="6" t="str">
        <f>HYPERLINK("http://www8.mpce.mp.br/Empenhos/150501/NE/2024NE000572.pdf","2024NE000572")</f>
        <v>2024NE000572</v>
      </c>
      <c r="H374" s="7">
        <v>12000</v>
      </c>
      <c r="I374" s="8" t="s">
        <v>173</v>
      </c>
      <c r="J374" s="12" t="s">
        <v>174</v>
      </c>
    </row>
    <row r="375" spans="1:10" ht="51" x14ac:dyDescent="0.25">
      <c r="A375" s="2" t="s">
        <v>45</v>
      </c>
      <c r="B375" s="3" t="s">
        <v>609</v>
      </c>
      <c r="C375" s="4" t="str">
        <f>HYPERLINK("http://www8.mpce.mp.br/Dispensa/2150720189.pdf","21507/2018-9")</f>
        <v>21507/2018-9</v>
      </c>
      <c r="D375" s="5">
        <v>45457</v>
      </c>
      <c r="E375" s="9" t="str">
        <f>HYPERLINK("https://www8.mpce.mp.br/Empenhos/150001/Objeto/51-2019.pdf","EMPENHO REF. LOCAÇÃO DE IMÓVEL SITUADO EM VIÇOSA DO CEARÁ-CE, QUE ABRIGA SEDE DE PROMOTORIAS DE JUSTIÇA DAQUELA COMARCA, CONF. CONTRATO 051/2019, REF. JUL, AGO E SET/2024, POR ESTIMATIVA.")</f>
        <v>EMPENHO REF. LOCAÇÃO DE IMÓVEL SITUADO EM VIÇOSA DO CEARÁ-CE, QUE ABRIGA SEDE DE PROMOTORIAS DE JUSTIÇA DAQUELA COMARCA, CONF. CONTRATO 051/2019, REF. JUL, AGO E SET/2024, POR ESTIMATIVA.</v>
      </c>
      <c r="F375" s="3" t="s">
        <v>172</v>
      </c>
      <c r="G375" s="6" t="str">
        <f>HYPERLINK("http://www8.mpce.mp.br/Empenhos/150501/NE/2024NE000573.pdf","2024NE000573")</f>
        <v>2024NE000573</v>
      </c>
      <c r="H375" s="7">
        <v>8807.1299999999992</v>
      </c>
      <c r="I375" s="8" t="s">
        <v>190</v>
      </c>
      <c r="J375" s="12" t="s">
        <v>191</v>
      </c>
    </row>
    <row r="376" spans="1:10" ht="51" x14ac:dyDescent="0.25">
      <c r="A376" s="2" t="s">
        <v>45</v>
      </c>
      <c r="B376" s="3" t="s">
        <v>610</v>
      </c>
      <c r="C376" s="4" t="str">
        <f>HYPERLINK("http://www8.mpce.mp.br/Dispensa/4503020176.pdf","45030/2017-6")</f>
        <v>45030/2017-6</v>
      </c>
      <c r="D376" s="5">
        <v>45457</v>
      </c>
      <c r="E376" s="9" t="str">
        <f>HYPERLINK("https://www8.mpce.mp.br/Empenhos/150001/Objeto/74-2019.pdf","EMPENHO REF. LOCAÇÃO DE IMÓVEL ONDE FUNCIONA A SEDE DAS PROMOTORIAS DE JUSTIÇA DA COMARCA DE GRANJA, CONF. CONTRATO 074/2019, REF. JUL, AGO E SET/2024, POR ESTIMATIVA.")</f>
        <v>EMPENHO REF. LOCAÇÃO DE IMÓVEL ONDE FUNCIONA A SEDE DAS PROMOTORIAS DE JUSTIÇA DA COMARCA DE GRANJA, CONF. CONTRATO 074/2019, REF. JUL, AGO E SET/2024, POR ESTIMATIVA.</v>
      </c>
      <c r="F376" s="3" t="s">
        <v>172</v>
      </c>
      <c r="G376" s="6" t="str">
        <f>HYPERLINK("http://www8.mpce.mp.br/Empenhos/150501/NE/2024NE000574.pdf","2024NE000574")</f>
        <v>2024NE000574</v>
      </c>
      <c r="H376" s="7">
        <v>6564.03</v>
      </c>
      <c r="I376" s="8" t="s">
        <v>247</v>
      </c>
      <c r="J376" s="12" t="s">
        <v>248</v>
      </c>
    </row>
    <row r="377" spans="1:10" ht="51" x14ac:dyDescent="0.25">
      <c r="A377" s="2" t="s">
        <v>45</v>
      </c>
      <c r="B377" s="3" t="s">
        <v>611</v>
      </c>
      <c r="C377" s="4" t="str">
        <f>HYPERLINK("https://transparencia-area-fim.mpce.mp.br/#/consulta/processo/pastadigital/092022000264193","09.2022.00026419-3")</f>
        <v>09.2022.00026419-3</v>
      </c>
      <c r="D377" s="5">
        <v>45457</v>
      </c>
      <c r="E377" s="9" t="str">
        <f>HYPERLINK("https://www8.mpce.mp.br/Empenhos/150001/Objeto/28-2022.pdf","EMPENHO REF. LOCAÇÃO DE IMÓVEL SITUADO EM AURORA-CE, ONDE FUNCIONA SEDE DE PROMOTORIAS DE JUSTIÇA DAQUELA COMARCA, CONF. CONTRATO 028/2022, REF. JUL, AGO E SET/2024, POR ESTIMATIVA.")</f>
        <v>EMPENHO REF. LOCAÇÃO DE IMÓVEL SITUADO EM AURORA-CE, ONDE FUNCIONA SEDE DE PROMOTORIAS DE JUSTIÇA DAQUELA COMARCA, CONF. CONTRATO 028/2022, REF. JUL, AGO E SET/2024, POR ESTIMATIVA.</v>
      </c>
      <c r="F377" s="3" t="s">
        <v>172</v>
      </c>
      <c r="G377" s="6" t="str">
        <f>HYPERLINK("http://www8.mpce.mp.br/Empenhos/150501/NE/2024NE000575.pdf","2024NE000575")</f>
        <v>2024NE000575</v>
      </c>
      <c r="H377" s="7">
        <v>6000</v>
      </c>
      <c r="I377" s="8" t="s">
        <v>212</v>
      </c>
      <c r="J377" s="12" t="s">
        <v>213</v>
      </c>
    </row>
    <row r="378" spans="1:10" ht="51" x14ac:dyDescent="0.25">
      <c r="A378" s="2" t="s">
        <v>45</v>
      </c>
      <c r="B378" s="3" t="s">
        <v>612</v>
      </c>
      <c r="C378" s="4" t="str">
        <f>HYPERLINK("http://www8.mpce.mp.br/Dispensa/3642820165.pdf","36428/2016-5")</f>
        <v>36428/2016-5</v>
      </c>
      <c r="D378" s="5">
        <v>45457</v>
      </c>
      <c r="E378" s="9" t="str">
        <f>HYPERLINK("https://www8.mpce.mp.br/Empenhos/150001/Objeto/26-2017.pdf","EMPENHO REF. LOCAÇÃO DE IMÓVEL ONDE FUNCIONA SEDE DE PROMOTORIAS DE JUSTIÇA DA COMARCA DE MARANGUAPE, CONF. CONTRATO 026/2017, REF. JUL, AGO E SET/2024, POR ESTIMATIVA.")</f>
        <v>EMPENHO REF. LOCAÇÃO DE IMÓVEL ONDE FUNCIONA SEDE DE PROMOTORIAS DE JUSTIÇA DA COMARCA DE MARANGUAPE, CONF. CONTRATO 026/2017, REF. JUL, AGO E SET/2024, POR ESTIMATIVA.</v>
      </c>
      <c r="F378" s="3" t="s">
        <v>172</v>
      </c>
      <c r="G378" s="6" t="str">
        <f>HYPERLINK("http://www8.mpce.mp.br/Empenhos/150501/NE/2024NE000576.pdf","2024NE000576")</f>
        <v>2024NE000576</v>
      </c>
      <c r="H378" s="7">
        <v>16554.45</v>
      </c>
      <c r="I378" s="8" t="s">
        <v>216</v>
      </c>
      <c r="J378" s="12" t="s">
        <v>217</v>
      </c>
    </row>
    <row r="379" spans="1:10" ht="63.75" x14ac:dyDescent="0.25">
      <c r="A379" s="2" t="s">
        <v>45</v>
      </c>
      <c r="B379" s="3" t="s">
        <v>613</v>
      </c>
      <c r="C379" s="4" t="str">
        <f>HYPERLINK("https://transparencia-area-fim.mpce.mp.br/#/consulta/processo/pastadigital/092021000166790","09.2021.00016679-0")</f>
        <v>09.2021.00016679-0</v>
      </c>
      <c r="D379" s="5">
        <v>45457</v>
      </c>
      <c r="E379" s="9" t="str">
        <f>HYPERLINK("https://www8.mpce.mp.br/Empenhos/150001/Objeto/24-2022.pdf","EMPENHO REF. LOCAÇÃO DE IMÓVEL SITUADO EM HORIZONTE-CE, ONDE FUNCIONA A SEDE DAS PROMOTORIAS DE JUSTIÇA DAQUELA COMARCA, CONF. CONTRATO 024/2022, REF. JUL, AGO E SET/2024, POR ESTIMATIVA.")</f>
        <v>EMPENHO REF. LOCAÇÃO DE IMÓVEL SITUADO EM HORIZONTE-CE, ONDE FUNCIONA A SEDE DAS PROMOTORIAS DE JUSTIÇA DAQUELA COMARCA, CONF. CONTRATO 024/2022, REF. JUL, AGO E SET/2024, POR ESTIMATIVA.</v>
      </c>
      <c r="F379" s="3" t="s">
        <v>172</v>
      </c>
      <c r="G379" s="6" t="str">
        <f>HYPERLINK("http://www8.mpce.mp.br/Empenhos/150501/NE/2024NE000577.pdf","2024NE000577")</f>
        <v>2024NE000577</v>
      </c>
      <c r="H379" s="7">
        <v>7200</v>
      </c>
      <c r="I379" s="8" t="s">
        <v>220</v>
      </c>
      <c r="J379" s="12" t="s">
        <v>221</v>
      </c>
    </row>
    <row r="380" spans="1:10" ht="51" x14ac:dyDescent="0.25">
      <c r="A380" s="2" t="s">
        <v>45</v>
      </c>
      <c r="B380" s="3" t="s">
        <v>614</v>
      </c>
      <c r="C380" s="4" t="str">
        <f>HYPERLINK("https://transparencia-area-fim.mpce.mp.br/#/consulta/processo/pastadigital/092021000121226","09.2021.00012122-6")</f>
        <v>09.2021.00012122-6</v>
      </c>
      <c r="D380" s="5">
        <v>45457</v>
      </c>
      <c r="E380" s="9" t="str">
        <f>HYPERLINK("https://www8.mpce.mp.br/Empenhos/150001/Objeto/34-2021.pdf","EMPENHO REF. LOCAÇÃO DE IMÓVEL SITUADO EM SÃO BENEDITO-CE, ONDE FUNCIONA SEDE DE PROMOTORIAS DE JUSTIÇA DAQUELA COMARCA, CONF. CONTRATO 034/2021, REF. JUL, AGO E SET/2024, POR ESTIMATIVA.")</f>
        <v>EMPENHO REF. LOCAÇÃO DE IMÓVEL SITUADO EM SÃO BENEDITO-CE, ONDE FUNCIONA SEDE DE PROMOTORIAS DE JUSTIÇA DAQUELA COMARCA, CONF. CONTRATO 034/2021, REF. JUL, AGO E SET/2024, POR ESTIMATIVA.</v>
      </c>
      <c r="F380" s="3" t="s">
        <v>172</v>
      </c>
      <c r="G380" s="6" t="str">
        <f>HYPERLINK("http://www8.mpce.mp.br/Empenhos/150501/NE/2024NE000578.pdf","2024NE000578")</f>
        <v>2024NE000578</v>
      </c>
      <c r="H380" s="7">
        <v>8469.81</v>
      </c>
      <c r="I380" s="8" t="s">
        <v>204</v>
      </c>
      <c r="J380" s="12" t="s">
        <v>205</v>
      </c>
    </row>
    <row r="381" spans="1:10" ht="51" x14ac:dyDescent="0.25">
      <c r="A381" s="2" t="s">
        <v>45</v>
      </c>
      <c r="B381" s="3" t="s">
        <v>660</v>
      </c>
      <c r="C381" s="4" t="str">
        <f>HYPERLINK("https://transparencia-area-fim.mpce.mp.br/#/consulta/processo/pastadigital/092021000079244","09.2021.00007924-4")</f>
        <v>09.2021.00007924-4</v>
      </c>
      <c r="D381" s="5">
        <v>45460</v>
      </c>
      <c r="E381" s="9" t="str">
        <f>HYPERLINK("https://www8.mpce.mp.br/Empenhos/150001/Objeto/27-2021.pdf","EMPENHO REF. LOCAÇÃO DE IMÓVEL ONDE FUNCIONA SEDE DE PROMOTORIAS DE JUSTIÇA DA COMARCA DE EUSÉBIO, CONF. CONTRATO 027/2021, REF. JUL, AGO E SET/2024, POR ESTIMATIVA.")</f>
        <v>EMPENHO REF. LOCAÇÃO DE IMÓVEL ONDE FUNCIONA SEDE DE PROMOTORIAS DE JUSTIÇA DA COMARCA DE EUSÉBIO, CONF. CONTRATO 027/2021, REF. JUL, AGO E SET/2024, POR ESTIMATIVA.</v>
      </c>
      <c r="F381" s="3" t="s">
        <v>127</v>
      </c>
      <c r="G381" s="6" t="str">
        <f>HYPERLINK("http://www8.mpce.mp.br/Empenhos/150501/NE/2024NE000579.pdf","2024NE000579")</f>
        <v>2024NE000579</v>
      </c>
      <c r="H381" s="7">
        <v>16638.3</v>
      </c>
      <c r="I381" s="8" t="s">
        <v>155</v>
      </c>
      <c r="J381" s="12" t="s">
        <v>156</v>
      </c>
    </row>
    <row r="382" spans="1:10" ht="51" x14ac:dyDescent="0.25">
      <c r="A382" s="2" t="s">
        <v>45</v>
      </c>
      <c r="B382" s="3" t="s">
        <v>660</v>
      </c>
      <c r="C382" s="4" t="str">
        <f>HYPERLINK("https://transparencia-area-fim.mpce.mp.br/#/consulta/processo/pastadigital/092021000079244","09.2021.00007924-4")</f>
        <v>09.2021.00007924-4</v>
      </c>
      <c r="D382" s="5">
        <v>45460</v>
      </c>
      <c r="E382" s="9" t="str">
        <f>HYPERLINK("https://www8.mpce.mp.br/Empenhos/150001/Objeto/27-2021.pdf","EMPENHO REF. TAXAS CONDOMINIAIS DE IMÓVEL ONDE FUNCIONA SEDE DE PROMOTORIAS DE JUSTIÇA DA COMARCA DE EUSÉBIO, CONF. CONTRATO 027/2021, REF. JUL, AGO E SET/2024, POR ESTIMATIVA.")</f>
        <v>EMPENHO REF. TAXAS CONDOMINIAIS DE IMÓVEL ONDE FUNCIONA SEDE DE PROMOTORIAS DE JUSTIÇA DA COMARCA DE EUSÉBIO, CONF. CONTRATO 027/2021, REF. JUL, AGO E SET/2024, POR ESTIMATIVA.</v>
      </c>
      <c r="F382" s="3" t="s">
        <v>242</v>
      </c>
      <c r="G382" s="6" t="str">
        <f>HYPERLINK("http://www8.mpce.mp.br/Empenhos/150501/NE/2024NE000580.pdf","2024NE000580")</f>
        <v>2024NE000580</v>
      </c>
      <c r="H382" s="7">
        <v>4463.6400000000003</v>
      </c>
      <c r="I382" s="8" t="s">
        <v>155</v>
      </c>
      <c r="J382" s="12" t="s">
        <v>156</v>
      </c>
    </row>
    <row r="383" spans="1:10" ht="51" x14ac:dyDescent="0.25">
      <c r="A383" s="2" t="s">
        <v>45</v>
      </c>
      <c r="B383" s="3" t="s">
        <v>661</v>
      </c>
      <c r="C383" s="4" t="str">
        <f>HYPERLINK("https://transparencia-area-fim.mpce.mp.br/#/consulta/processo/pastadigital/092021000219739","09.2021.00021973-9")</f>
        <v>09.2021.00021973-9</v>
      </c>
      <c r="D383" s="5">
        <v>45460</v>
      </c>
      <c r="E383" s="9" t="str">
        <f>HYPERLINK("https://www8.mpce.mp.br/Empenhos/150001/Objeto/45-2021.pdf","EMPENHO DOS ALUGUÉIS DOS MESES DE JULHO A SETEMBRO DE 2024, REF. AO IMÓVEL ONDE FUNCIONAM AS PROMOTORIAS DE JUSTIÇA DA COMARCA DE EUSÉBIO, CONF. CONTRATO DE LOCAÇÃO Nº 045/2021/PGJ.")</f>
        <v>EMPENHO DOS ALUGUÉIS DOS MESES DE JULHO A SETEMBRO DE 2024, REF. AO IMÓVEL ONDE FUNCIONAM AS PROMOTORIAS DE JUSTIÇA DA COMARCA DE EUSÉBIO, CONF. CONTRATO DE LOCAÇÃO Nº 045/2021/PGJ.</v>
      </c>
      <c r="F383" s="3" t="s">
        <v>127</v>
      </c>
      <c r="G383" s="6" t="str">
        <f>HYPERLINK("http://www8.mpce.mp.br/Empenhos/150501/NE/2024NE000581.pdf","2024NE000581")</f>
        <v>2024NE000581</v>
      </c>
      <c r="H383" s="7">
        <v>4921.05</v>
      </c>
      <c r="I383" s="8" t="s">
        <v>155</v>
      </c>
      <c r="J383" s="12" t="s">
        <v>156</v>
      </c>
    </row>
    <row r="384" spans="1:10" ht="51" x14ac:dyDescent="0.25">
      <c r="A384" s="2" t="s">
        <v>45</v>
      </c>
      <c r="B384" s="3" t="s">
        <v>660</v>
      </c>
      <c r="C384" s="4" t="str">
        <f>HYPERLINK("https://transparencia-area-fim.mpce.mp.br/#/consulta/processo/pastadigital/092021000079244","09.2021.00007924-4")</f>
        <v>09.2021.00007924-4</v>
      </c>
      <c r="D384" s="5">
        <v>45460</v>
      </c>
      <c r="E384" s="9" t="str">
        <f>HYPERLINK("https://www8.mpce.mp.br/Empenhos/150001/Objeto/27-2021.pdf","EMPENHO REF. REEMBOLSO DE IPTU DE IMÓVEL ONDE FUNCIONA SEDE DE PROMOTORIAS DE JUSTIÇA DA COMARCA DE EUSÉBIO, CONF. CONTRATO 027/2021, REF. 2024 - 1ª PARCELA.")</f>
        <v>EMPENHO REF. REEMBOLSO DE IPTU DE IMÓVEL ONDE FUNCIONA SEDE DE PROMOTORIAS DE JUSTIÇA DA COMARCA DE EUSÉBIO, CONF. CONTRATO 027/2021, REF. 2024 - 1ª PARCELA.</v>
      </c>
      <c r="F384" s="3" t="s">
        <v>264</v>
      </c>
      <c r="G384" s="6" t="str">
        <f>HYPERLINK("http://www8.mpce.mp.br/Empenhos/150501/NE/2024NE000582.pdf","2024NE000582")</f>
        <v>2024NE000582</v>
      </c>
      <c r="H384" s="7">
        <v>729.87</v>
      </c>
      <c r="I384" s="8" t="s">
        <v>155</v>
      </c>
      <c r="J384" s="12" t="s">
        <v>156</v>
      </c>
    </row>
    <row r="385" spans="1:10" ht="51" x14ac:dyDescent="0.25">
      <c r="A385" s="2" t="s">
        <v>45</v>
      </c>
      <c r="B385" s="3" t="s">
        <v>660</v>
      </c>
      <c r="C385" s="4" t="str">
        <f>HYPERLINK("https://transparencia-area-fim.mpce.mp.br/#/consulta/processo/pastadigital/092021000079244","09.2021.00007924-4")</f>
        <v>09.2021.00007924-4</v>
      </c>
      <c r="D385" s="5">
        <v>45460</v>
      </c>
      <c r="E385" s="9" t="str">
        <f>HYPERLINK("https://www8.mpce.mp.br/Empenhos/150001/Objeto/27-2021.pdf","EMPENHO REF. REEMBOLSO DE IPTU DE IMÓVEL ONDE FUNCIONA SEDE DE PROMOTORIAS DE JUSTIÇA DA COMARCA DE EUSÉBIO, CONF. CONTRATO 027/2021, REF. 2024 - 2ª PARCELA.")</f>
        <v>EMPENHO REF. REEMBOLSO DE IPTU DE IMÓVEL ONDE FUNCIONA SEDE DE PROMOTORIAS DE JUSTIÇA DA COMARCA DE EUSÉBIO, CONF. CONTRATO 027/2021, REF. 2024 - 2ª PARCELA.</v>
      </c>
      <c r="F385" s="3" t="s">
        <v>264</v>
      </c>
      <c r="G385" s="6" t="str">
        <f>HYPERLINK("http://www8.mpce.mp.br/Empenhos/150501/NE/2024NE000583.pdf","2024NE000583")</f>
        <v>2024NE000583</v>
      </c>
      <c r="H385" s="7">
        <v>729.87</v>
      </c>
      <c r="I385" s="8" t="s">
        <v>155</v>
      </c>
      <c r="J385" s="12" t="s">
        <v>156</v>
      </c>
    </row>
    <row r="386" spans="1:10" ht="89.25" x14ac:dyDescent="0.25">
      <c r="A386" s="2" t="s">
        <v>45</v>
      </c>
      <c r="B386" s="3" t="s">
        <v>662</v>
      </c>
      <c r="C386" s="4" t="str">
        <f>HYPERLINK("https://transparencia-area-fim.mpce.mp.br/#/consulta/processo/pastadigital/092021000219739","09.2021.00021973-9")</f>
        <v>09.2021.00021973-9</v>
      </c>
      <c r="D386" s="5">
        <v>45460</v>
      </c>
      <c r="E386" s="9" t="s">
        <v>663</v>
      </c>
      <c r="F386" s="3" t="s">
        <v>264</v>
      </c>
      <c r="G386" s="6" t="str">
        <f>HYPERLINK("http://www8.mpce.mp.br/Empenhos/150501/NE/2024NE000584.pdf","2024NE000584")</f>
        <v>2024NE000584</v>
      </c>
      <c r="H386" s="7">
        <v>152.37</v>
      </c>
      <c r="I386" s="8" t="s">
        <v>155</v>
      </c>
      <c r="J386" s="12" t="s">
        <v>156</v>
      </c>
    </row>
    <row r="387" spans="1:10" ht="89.25" x14ac:dyDescent="0.25">
      <c r="A387" s="2" t="s">
        <v>45</v>
      </c>
      <c r="B387" s="3" t="s">
        <v>664</v>
      </c>
      <c r="C387" s="4" t="str">
        <f>HYPERLINK("https://transparencia-area-fim.mpce.mp.br/#/consulta/processo/pastadigital/092021000219739","09.2021.00021973-9")</f>
        <v>09.2021.00021973-9</v>
      </c>
      <c r="D387" s="5">
        <v>45460</v>
      </c>
      <c r="E387" s="9" t="s">
        <v>665</v>
      </c>
      <c r="F387" s="3" t="s">
        <v>264</v>
      </c>
      <c r="G387" s="6" t="str">
        <f>HYPERLINK("http://www8.mpce.mp.br/Empenhos/150501/NE/2024NE000585.pdf","2024NE000585")</f>
        <v>2024NE000585</v>
      </c>
      <c r="H387" s="7">
        <v>152.37</v>
      </c>
      <c r="I387" s="8" t="s">
        <v>155</v>
      </c>
      <c r="J387" s="12" t="s">
        <v>156</v>
      </c>
    </row>
    <row r="388" spans="1:10" ht="51" x14ac:dyDescent="0.25">
      <c r="A388" s="2" t="s">
        <v>45</v>
      </c>
      <c r="B388" s="3" t="s">
        <v>666</v>
      </c>
      <c r="C388" s="4" t="str">
        <f>HYPERLINK("https://transparencia-area-fim.mpce.mp.br/#/consulta/processo/pastadigital/092021000219739","09.2021.00021973-9")</f>
        <v>09.2021.00021973-9</v>
      </c>
      <c r="D388" s="5">
        <v>45460</v>
      </c>
      <c r="E388" s="9" t="str">
        <f>HYPERLINK("https://www8.mpce.mp.br/Empenhos/150001/Objeto/45-2021.pdf","TAXAS CONDOMINIAIS DE IMÓVEL ONDE FUNCIONA SEDE DE PROMOTORIAS DE JUSTIÇA DA COMARCA DE EUSÉBIO, CONF. CONTRATO 045/2021, REF. JUL, AGO E SET/2024, POR ESTIMATIVA.")</f>
        <v>TAXAS CONDOMINIAIS DE IMÓVEL ONDE FUNCIONA SEDE DE PROMOTORIAS DE JUSTIÇA DA COMARCA DE EUSÉBIO, CONF. CONTRATO 045/2021, REF. JUL, AGO E SET/2024, POR ESTIMATIVA.</v>
      </c>
      <c r="F388" s="3" t="s">
        <v>242</v>
      </c>
      <c r="G388" s="6" t="str">
        <f>HYPERLINK("http://www8.mpce.mp.br/Empenhos/150501/NE/2024NE000586.pdf","2024NE000586")</f>
        <v>2024NE000586</v>
      </c>
      <c r="H388" s="7">
        <v>1387.47</v>
      </c>
      <c r="I388" s="8" t="s">
        <v>155</v>
      </c>
      <c r="J388" s="12" t="s">
        <v>156</v>
      </c>
    </row>
    <row r="389" spans="1:10" ht="89.25" x14ac:dyDescent="0.25">
      <c r="A389" s="2" t="s">
        <v>45</v>
      </c>
      <c r="B389" s="3" t="s">
        <v>667</v>
      </c>
      <c r="C389" s="4" t="str">
        <f>HYPERLINK("http://www8.mpce.mp.br/Dispensa/842220170.pdf","8422/20170")</f>
        <v>8422/20170</v>
      </c>
      <c r="D389" s="5">
        <v>45460</v>
      </c>
      <c r="E389" s="9" t="s">
        <v>668</v>
      </c>
      <c r="F389" s="3" t="s">
        <v>264</v>
      </c>
      <c r="G389" s="6" t="str">
        <f>HYPERLINK("http://www8.mpce.mp.br/Empenhos/150501/NE/2024NE000587.pdf","2024NE000587")</f>
        <v>2024NE000587</v>
      </c>
      <c r="H389" s="7">
        <v>152.32</v>
      </c>
      <c r="I389" s="8" t="s">
        <v>169</v>
      </c>
      <c r="J389" s="12" t="s">
        <v>170</v>
      </c>
    </row>
    <row r="390" spans="1:10" ht="51" x14ac:dyDescent="0.25">
      <c r="A390" s="2" t="s">
        <v>45</v>
      </c>
      <c r="B390" s="3" t="s">
        <v>669</v>
      </c>
      <c r="C390" s="4" t="str">
        <f>HYPERLINK("https://transparencia-area-fim.mpce.mp.br/#/consulta/processo/pastadigital/092021000155016","09.2021.00015501-6")</f>
        <v>09.2021.00015501-6</v>
      </c>
      <c r="D390" s="5">
        <v>45460</v>
      </c>
      <c r="E390" s="9" t="str">
        <f>HYPERLINK("https://www8.mpce.mp.br/Empenhos/150001/Objeto/26-2021.pdf","EMPENHO REF. LOCAÇÃO DE IMÓVEL SITUADO EM BREJO SANTO-CE, ONDE FUNCIONA SEDE DE PROMOTORIAS DE JUSTIÇA DAQUELA COMARCA, CONF. CONTRATO 026/2021, REF. JUL, AGO E SET/2024, POR ESTIMATIVA.")</f>
        <v>EMPENHO REF. LOCAÇÃO DE IMÓVEL SITUADO EM BREJO SANTO-CE, ONDE FUNCIONA SEDE DE PROMOTORIAS DE JUSTIÇA DAQUELA COMARCA, CONF. CONTRATO 026/2021, REF. JUL, AGO E SET/2024, POR ESTIMATIVA.</v>
      </c>
      <c r="F390" s="3" t="s">
        <v>172</v>
      </c>
      <c r="G390" s="6" t="str">
        <f>HYPERLINK("http://www8.mpce.mp.br/Empenhos/150501/NE/2024NE000588.pdf","2024NE000588")</f>
        <v>2024NE000588</v>
      </c>
      <c r="H390" s="7">
        <v>7804.65</v>
      </c>
      <c r="I390" s="8" t="s">
        <v>214</v>
      </c>
      <c r="J390" s="12" t="s">
        <v>215</v>
      </c>
    </row>
    <row r="391" spans="1:10" ht="51" x14ac:dyDescent="0.25">
      <c r="A391" s="2" t="s">
        <v>20</v>
      </c>
      <c r="B391" s="3" t="s">
        <v>670</v>
      </c>
      <c r="C391" s="4" t="str">
        <f>HYPERLINK("https://transparencia-area-fim.mpce.mp.br/#/consulta/processo/pastadigital/092023000214163","09.2023.00021416-3")</f>
        <v>09.2023.00021416-3</v>
      </c>
      <c r="D391" s="5">
        <v>45460</v>
      </c>
      <c r="E391" s="9" t="str">
        <f>HYPERLINK("https://www8.mpce.mp.br/Empenhos/150001/Objeto/56-2023.pdf","EMPENHO DOS ALUGUÉIS DOS MESES DE JULHO A SETEMBRO DE 2024, REF. AO IMÓVEL ONDE FUNCIONAM AS PROMOTORIAS DE JUSTIÇA DA COMARCA DE BATURITÉ, CONF. CONTRATO DE LOCAÇÃO: 056/2023/PGJ.")</f>
        <v>EMPENHO DOS ALUGUÉIS DOS MESES DE JULHO A SETEMBRO DE 2024, REF. AO IMÓVEL ONDE FUNCIONAM AS PROMOTORIAS DE JUSTIÇA DA COMARCA DE BATURITÉ, CONF. CONTRATO DE LOCAÇÃO: 056/2023/PGJ.</v>
      </c>
      <c r="F391" s="3" t="s">
        <v>127</v>
      </c>
      <c r="G391" s="6" t="str">
        <f>HYPERLINK("http://www8.mpce.mp.br/Empenhos/150501/NE/2024NE000589.pdf","2024NE000589")</f>
        <v>2024NE000589</v>
      </c>
      <c r="H391" s="7">
        <v>16200</v>
      </c>
      <c r="I391" s="8" t="s">
        <v>167</v>
      </c>
      <c r="J391" s="12" t="s">
        <v>168</v>
      </c>
    </row>
    <row r="392" spans="1:10" ht="51" x14ac:dyDescent="0.25">
      <c r="A392" s="2" t="s">
        <v>20</v>
      </c>
      <c r="B392" s="3" t="s">
        <v>671</v>
      </c>
      <c r="C392" s="4" t="str">
        <f>HYPERLINK("https://transparencia-area-fim.mpce.mp.br/#/consulta/processo/pastadigital/092022000371847","09.2022.00037184-7")</f>
        <v>09.2022.00037184-7</v>
      </c>
      <c r="D392" s="5">
        <v>45460</v>
      </c>
      <c r="E392" s="9" t="str">
        <f>HYPERLINK("https://www8.mpce.mp.br/Empenhos/150001/Objeto/44-2023.pdf","EMPENHO DOS ALUGUÉIS DOS MESES DE JULHO A SETEMBRO DE 2024, REF. AO IMÓVEL ONDE FUNCIONAM AS PROMOTORIAS DE JUSTIÇA DA COMARCA DE MARCO, RELATIVO AO CONTRATO Nº 044/2023/PGJ.")</f>
        <v>EMPENHO DOS ALUGUÉIS DOS MESES DE JULHO A SETEMBRO DE 2024, REF. AO IMÓVEL ONDE FUNCIONAM AS PROMOTORIAS DE JUSTIÇA DA COMARCA DE MARCO, RELATIVO AO CONTRATO Nº 044/2023/PGJ.</v>
      </c>
      <c r="F392" s="3" t="s">
        <v>172</v>
      </c>
      <c r="G392" s="6" t="str">
        <f>HYPERLINK("http://www8.mpce.mp.br/Empenhos/150501/NE/2024NE000590.pdf","2024NE000590")</f>
        <v>2024NE000590</v>
      </c>
      <c r="H392" s="7">
        <v>3600</v>
      </c>
      <c r="I392" s="8" t="s">
        <v>193</v>
      </c>
      <c r="J392" s="12" t="s">
        <v>194</v>
      </c>
    </row>
    <row r="393" spans="1:10" ht="51" x14ac:dyDescent="0.25">
      <c r="A393" s="2" t="s">
        <v>45</v>
      </c>
      <c r="B393" s="3" t="s">
        <v>672</v>
      </c>
      <c r="C393" s="4" t="str">
        <f>HYPERLINK("https://transparencia-area-fim.mpce.mp.br/#/consulta/processo/pastadigital/092021000047808","09.2021.00004780-8")</f>
        <v>09.2021.00004780-8</v>
      </c>
      <c r="D393" s="5">
        <v>45460</v>
      </c>
      <c r="E393" s="9" t="str">
        <f>HYPERLINK("https://www8.mpce.mp.br/Empenhos/150001/Objeto/25-2021.pdf","EMPENHO REF. LOCAÇÃO DE IMÓVEL SITUADO EM ALTO SANTO-CE, ONDE FUNCIONA SEDE DE PROMOTORIAS DE JUSTIÇA DAQUELA COMARCA, CONF. CONTRATO 025/2021, REF. JUL, AGO E SET/2024, POR ESTIMATIVA.")</f>
        <v>EMPENHO REF. LOCAÇÃO DE IMÓVEL SITUADO EM ALTO SANTO-CE, ONDE FUNCIONA SEDE DE PROMOTORIAS DE JUSTIÇA DAQUELA COMARCA, CONF. CONTRATO 025/2021, REF. JUL, AGO E SET/2024, POR ESTIMATIVA.</v>
      </c>
      <c r="F393" s="3" t="s">
        <v>172</v>
      </c>
      <c r="G393" s="6" t="str">
        <f>HYPERLINK("http://www8.mpce.mp.br/Empenhos/150501/NE/2024NE000591.pdf","2024NE000591")</f>
        <v>2024NE000591</v>
      </c>
      <c r="H393" s="7">
        <v>4953.45</v>
      </c>
      <c r="I393" s="8" t="s">
        <v>218</v>
      </c>
      <c r="J393" s="12" t="s">
        <v>219</v>
      </c>
    </row>
    <row r="394" spans="1:10" ht="51" x14ac:dyDescent="0.25">
      <c r="A394" s="2" t="s">
        <v>20</v>
      </c>
      <c r="B394" s="3" t="s">
        <v>396</v>
      </c>
      <c r="C394" s="4" t="str">
        <f>HYPERLINK("https://transparencia-area-fim.mpce.mp.br/#/consulta/processo/pastadigital/092022000409094","09.2022.00040909-4")</f>
        <v>09.2022.00040909-4</v>
      </c>
      <c r="D394" s="5">
        <v>45460</v>
      </c>
      <c r="E394" s="9" t="str">
        <f>HYPERLINK("https://www8.mpce.mp.br/Empenhos/150001/Objeto/41-2023.pdf","EMPENHO DOS ALUGUÉIS DOS MESES DE JULHO A SETEMBRO DE 2024, REF. AO IMÓVEL ONDE FUNCIONAM AS PROMOTORIAS DE JUSTIÇA DA COMARCA DE GUARACIABA DO NORTE, CONF. CONTRATO Nº 041/2023/PGJ.")</f>
        <v>EMPENHO DOS ALUGUÉIS DOS MESES DE JULHO A SETEMBRO DE 2024, REF. AO IMÓVEL ONDE FUNCIONAM AS PROMOTORIAS DE JUSTIÇA DA COMARCA DE GUARACIABA DO NORTE, CONF. CONTRATO Nº 041/2023/PGJ.</v>
      </c>
      <c r="F394" s="3" t="s">
        <v>172</v>
      </c>
      <c r="G394" s="6" t="str">
        <f>HYPERLINK("http://www8.mpce.mp.br/Empenhos/150501/NE/2024NE000592.pdf","2024NE000592")</f>
        <v>2024NE000592</v>
      </c>
      <c r="H394" s="7">
        <v>4650</v>
      </c>
      <c r="I394" s="8" t="s">
        <v>195</v>
      </c>
      <c r="J394" s="12" t="s">
        <v>196</v>
      </c>
    </row>
    <row r="395" spans="1:10" ht="63.75" x14ac:dyDescent="0.25">
      <c r="A395" s="2" t="s">
        <v>45</v>
      </c>
      <c r="B395" s="3" t="s">
        <v>673</v>
      </c>
      <c r="C395" s="4" t="str">
        <f>HYPERLINK("https://transparencia-area-fim.mpce.mp.br/#/consulta/processo/pastadigital/092022000343818","09.2022.00034381-8")</f>
        <v>09.2022.00034381-8</v>
      </c>
      <c r="D395" s="5">
        <v>45460</v>
      </c>
      <c r="E395" s="9" t="str">
        <f>HYPERLINK("https://www8.mpce.mp.br/Empenhos/150001/Objeto/24-2023.pdf","EMPENHO REF. REEMBOLSO DE IPTU DE TERRENO SITUADO EM ITAPIPOCA-CE, ONDE FUNCIONA SEDE DE PROMOTORIAS DE JUSTIÇA DAQUELA COMARCA, CONF. CONSTA NO CONTRATO 024/2023, REF. 2024 - PARCELA ÚNICA.")</f>
        <v>EMPENHO REF. REEMBOLSO DE IPTU DE TERRENO SITUADO EM ITAPIPOCA-CE, ONDE FUNCIONA SEDE DE PROMOTORIAS DE JUSTIÇA DAQUELA COMARCA, CONF. CONSTA NO CONTRATO 024/2023, REF. 2024 - PARCELA ÚNICA.</v>
      </c>
      <c r="F395" s="3" t="s">
        <v>264</v>
      </c>
      <c r="G395" s="6" t="str">
        <f>HYPERLINK("http://www8.mpce.mp.br/Empenhos/150501/NE/2024NE000593.pdf","2024NE000593")</f>
        <v>2024NE000593</v>
      </c>
      <c r="H395" s="7">
        <v>148.52000000000001</v>
      </c>
      <c r="I395" s="8" t="s">
        <v>251</v>
      </c>
      <c r="J395" s="12" t="s">
        <v>252</v>
      </c>
    </row>
    <row r="396" spans="1:10" ht="51" x14ac:dyDescent="0.25">
      <c r="A396" s="2" t="s">
        <v>20</v>
      </c>
      <c r="B396" s="3" t="s">
        <v>320</v>
      </c>
      <c r="C396" s="4" t="str">
        <f>HYPERLINK("https://transparencia-area-fim.mpce.mp.br/#/consulta/processo/pastadigital/092022000083885","09.2022.00008388-5")</f>
        <v>09.2022.00008388-5</v>
      </c>
      <c r="D396" s="5">
        <v>45460</v>
      </c>
      <c r="E396" s="9" t="str">
        <f>HYPERLINK("https://www8.mpce.mp.br/Empenhos/150001/Objeto/36-2023.pdf","EMPENHO DOS ALUGUÉIS DOS MESES DE JULHO A SETEMBRO DE 2024, RE. AO IMÓVEL ONDE FUNCIONA AS PROMOTORIAS DE JUSTIÇA DA COMARCA DE SOLONÓPOLE, CONF. CONTRATO DE LOCAÇÃO: 036/2023/PGJ.")</f>
        <v>EMPENHO DOS ALUGUÉIS DOS MESES DE JULHO A SETEMBRO DE 2024, RE. AO IMÓVEL ONDE FUNCIONA AS PROMOTORIAS DE JUSTIÇA DA COMARCA DE SOLONÓPOLE, CONF. CONTRATO DE LOCAÇÃO: 036/2023/PGJ.</v>
      </c>
      <c r="F396" s="3" t="s">
        <v>172</v>
      </c>
      <c r="G396" s="6" t="str">
        <f>HYPERLINK("http://www8.mpce.mp.br/Empenhos/150501/NE/2024NE000594.pdf","2024NE000594")</f>
        <v>2024NE000594</v>
      </c>
      <c r="H396" s="7">
        <v>11691.72</v>
      </c>
      <c r="I396" s="8" t="s">
        <v>199</v>
      </c>
      <c r="J396" s="12" t="s">
        <v>200</v>
      </c>
    </row>
    <row r="397" spans="1:10" ht="51" x14ac:dyDescent="0.25">
      <c r="A397" s="2" t="s">
        <v>20</v>
      </c>
      <c r="B397" s="3" t="s">
        <v>395</v>
      </c>
      <c r="C397" s="4" t="str">
        <f>HYPERLINK("https://transparencia-area-fim.mpce.mp.br/#/consulta/processo/pastadigital/092022000426227","09.2022.00042622-7")</f>
        <v>09.2022.00042622-7</v>
      </c>
      <c r="D397" s="5">
        <v>45460</v>
      </c>
      <c r="E397" s="9" t="str">
        <f>HYPERLINK("https://www8.mpce.mp.br/Empenhos/150001/Objeto/33-2023.pdf","EMPENHO DOS ALUGUÉIS DOS MESES DE JULHO A SETEMBRO DE 2024, REF. AO IMÓVEL ONDE FUNCIONAM AS PROMOTORIAS DE JUSTIÇA DA COMARCA DE JUCÁS, CONF. CONTRATO Nº 033/2023/PGJ.")</f>
        <v>EMPENHO DOS ALUGUÉIS DOS MESES DE JULHO A SETEMBRO DE 2024, REF. AO IMÓVEL ONDE FUNCIONAM AS PROMOTORIAS DE JUSTIÇA DA COMARCA DE JUCÁS, CONF. CONTRATO Nº 033/2023/PGJ.</v>
      </c>
      <c r="F397" s="3" t="s">
        <v>172</v>
      </c>
      <c r="G397" s="6" t="str">
        <f>HYPERLINK("http://www8.mpce.mp.br/Empenhos/150501/NE/2024NE000595.pdf","2024NE000595")</f>
        <v>2024NE000595</v>
      </c>
      <c r="H397" s="7">
        <v>7500</v>
      </c>
      <c r="I397" s="8" t="s">
        <v>206</v>
      </c>
      <c r="J397" s="12" t="s">
        <v>207</v>
      </c>
    </row>
    <row r="398" spans="1:10" ht="51" x14ac:dyDescent="0.25">
      <c r="A398" s="2" t="s">
        <v>45</v>
      </c>
      <c r="B398" s="3" t="s">
        <v>534</v>
      </c>
      <c r="C398" s="4" t="str">
        <f>HYPERLINK("https://transparencia-area-fim.mpce.mp.br/#/consulta/processo/pastadigital/092022000110511","09.2022.00011051-1")</f>
        <v>09.2022.00011051-1</v>
      </c>
      <c r="D398" s="5">
        <v>45460</v>
      </c>
      <c r="E398" s="9" t="str">
        <f>HYPERLINK("https://www8.mpce.mp.br/Empenhos/150001/Objeto/38-2022.pdf","EMPENHO DOS ALUGUÉIS DOS MESES DE JULHO A SETEMBRO DE 2024, REF. AO IMÓVEL ONDE FUNCIONAM AS PROMOTORIAS DE JUSTIÇA DA COMARCA DE NOVA OLINDA, CONF. CONTRATO Nº 038/2022/PGJ.")</f>
        <v>EMPENHO DOS ALUGUÉIS DOS MESES DE JULHO A SETEMBRO DE 2024, REF. AO IMÓVEL ONDE FUNCIONAM AS PROMOTORIAS DE JUSTIÇA DA COMARCA DE NOVA OLINDA, CONF. CONTRATO Nº 038/2022/PGJ.</v>
      </c>
      <c r="F398" s="3" t="s">
        <v>172</v>
      </c>
      <c r="G398" s="6" t="str">
        <f>HYPERLINK("http://www8.mpce.mp.br/Empenhos/150501/NE/2024NE000596.pdf","2024NE000596")</f>
        <v>2024NE000596</v>
      </c>
      <c r="H398" s="7">
        <v>6000</v>
      </c>
      <c r="I398" s="8" t="s">
        <v>240</v>
      </c>
      <c r="J398" s="12" t="s">
        <v>241</v>
      </c>
    </row>
    <row r="399" spans="1:10" ht="51" x14ac:dyDescent="0.25">
      <c r="A399" s="2" t="s">
        <v>45</v>
      </c>
      <c r="B399" s="3" t="s">
        <v>674</v>
      </c>
      <c r="C399" s="4" t="str">
        <f>HYPERLINK("https://transparencia-area-fim.mpce.mp.br/#/consulta/processo/pastadigital/092022000276145","09.2022.00027614-5")</f>
        <v>09.2022.00027614-5</v>
      </c>
      <c r="D399" s="5">
        <v>45460</v>
      </c>
      <c r="E399" s="9" t="str">
        <f>HYPERLINK("https://www8.mpce.mp.br/Empenhos/150001/Objeto/36-2022.pdf","EMPENHO REF. LOCAÇÃO DE IMÓVEL SITUADO EM ARARIPE-CE, ONDE FUNCIONA SEDE DE PROMOTORIAS DE JUSTIÇA DAQUELA COMARCA, CONF. CONTRATO 036/2022, REF. JUL, AGO E SET/2024, POR ESTIMATIVA.")</f>
        <v>EMPENHO REF. LOCAÇÃO DE IMÓVEL SITUADO EM ARARIPE-CE, ONDE FUNCIONA SEDE DE PROMOTORIAS DE JUSTIÇA DAQUELA COMARCA, CONF. CONTRATO 036/2022, REF. JUL, AGO E SET/2024, POR ESTIMATIVA.</v>
      </c>
      <c r="F399" s="3" t="s">
        <v>172</v>
      </c>
      <c r="G399" s="6" t="str">
        <f>HYPERLINK("http://www8.mpce.mp.br/Empenhos/150501/NE/2024NE000597.pdf","2024NE000597")</f>
        <v>2024NE000597</v>
      </c>
      <c r="H399" s="7">
        <v>4500</v>
      </c>
      <c r="I399" s="8" t="s">
        <v>202</v>
      </c>
      <c r="J399" s="12" t="s">
        <v>203</v>
      </c>
    </row>
    <row r="400" spans="1:10" ht="63.75" x14ac:dyDescent="0.25">
      <c r="A400" s="2" t="s">
        <v>45</v>
      </c>
      <c r="B400" s="3" t="s">
        <v>675</v>
      </c>
      <c r="C400" s="4" t="str">
        <f>HYPERLINK("https://transparencia-area-fim.mpce.mp.br/#/consulta/processo/pastadigital/092022000091296","09.2022.00009129-6")</f>
        <v>09.2022.00009129-6</v>
      </c>
      <c r="D400" s="5">
        <v>45460</v>
      </c>
      <c r="E400" s="9" t="str">
        <f>HYPERLINK("https://www8.mpce.mp.br/Empenhos/150001/Objeto/33-2022.pdf","EMPENHO REF. LOCAÇÃO DE IMÓVEL SITUADO EM VÁRZEA ALEGRE-CE, ONDE FUNCIONA SEDE DE PROMOTORIAS DE JUSTIÇA DAQUELA COMARCA, CONF. CONSTA NO CONTRATO 033/2022, REF. JUL, AGO E SET/2024, POR ESTIMATIVA.")</f>
        <v>EMPENHO REF. LOCAÇÃO DE IMÓVEL SITUADO EM VÁRZEA ALEGRE-CE, ONDE FUNCIONA SEDE DE PROMOTORIAS DE JUSTIÇA DAQUELA COMARCA, CONF. CONSTA NO CONTRATO 033/2022, REF. JUL, AGO E SET/2024, POR ESTIMATIVA.</v>
      </c>
      <c r="F400" s="3" t="s">
        <v>172</v>
      </c>
      <c r="G400" s="6" t="str">
        <f>HYPERLINK("http://www8.mpce.mp.br/Empenhos/150501/NE/2024NE000599.pdf","2024NE000599")</f>
        <v>2024NE000599</v>
      </c>
      <c r="H400" s="7">
        <v>2400</v>
      </c>
      <c r="I400" s="8" t="s">
        <v>208</v>
      </c>
      <c r="J400" s="12" t="s">
        <v>209</v>
      </c>
    </row>
    <row r="401" spans="1:10" ht="89.25" x14ac:dyDescent="0.25">
      <c r="A401" s="2" t="s">
        <v>20</v>
      </c>
      <c r="B401" s="3" t="s">
        <v>676</v>
      </c>
      <c r="C401" s="4" t="str">
        <f>HYPERLINK("https://transparencia-area-fim.mpce.mp.br/#/consulta/processo/pastadigital/092024000132080","09.2024.00013208-0")</f>
        <v>09.2024.00013208-0</v>
      </c>
      <c r="D401" s="5">
        <v>45462</v>
      </c>
      <c r="E401" s="9" t="s">
        <v>677</v>
      </c>
      <c r="F401" s="3" t="s">
        <v>120</v>
      </c>
      <c r="G401" s="6" t="str">
        <f>HYPERLINK("http://www8.mpce.mp.br/Empenhos/150501/NE/2024NE000603.pdf","2024NE000603")</f>
        <v>2024NE000603</v>
      </c>
      <c r="H401" s="7">
        <v>1350000</v>
      </c>
      <c r="I401" s="8" t="s">
        <v>258</v>
      </c>
      <c r="J401" s="12" t="s">
        <v>259</v>
      </c>
    </row>
    <row r="402" spans="1:10" ht="51" x14ac:dyDescent="0.25">
      <c r="A402" s="2" t="s">
        <v>45</v>
      </c>
      <c r="B402" s="3" t="s">
        <v>678</v>
      </c>
      <c r="C402" s="4" t="str">
        <f>HYPERLINK("http://www8.mpce.mp.br/Dispensa/2330020195.pdf","23300/2019-5")</f>
        <v>23300/2019-5</v>
      </c>
      <c r="D402" s="5">
        <v>45464</v>
      </c>
      <c r="E402" s="9" t="str">
        <f>HYPERLINK("https://www8.mpce.mp.br/Empenhos/150001/Objeto/61-2019.pdf","EMPENHO REF. LOCAÇÃO DE IMÓVEL SITUADO EM ACARAÚ-CE, ONDE FUNCIONA SEDE DE PROMOTORIAS DE JUSTIÇA DAQUELA COMARCA, CONF. CONTRATO 061/2019, REF. JUL, AGO E SET/2024, POR ESTIMATIVA.")</f>
        <v>EMPENHO REF. LOCAÇÃO DE IMÓVEL SITUADO EM ACARAÚ-CE, ONDE FUNCIONA SEDE DE PROMOTORIAS DE JUSTIÇA DAQUELA COMARCA, CONF. CONTRATO 061/2019, REF. JUL, AGO E SET/2024, POR ESTIMATIVA.</v>
      </c>
      <c r="F402" s="3" t="s">
        <v>172</v>
      </c>
      <c r="G402" s="6" t="str">
        <f>HYPERLINK("http://www8.mpce.mp.br/Empenhos/150501/NE/2024NE000617.pdf","2024NE000617")</f>
        <v>2024NE000617</v>
      </c>
      <c r="H402" s="7">
        <v>4200</v>
      </c>
      <c r="I402" s="8" t="s">
        <v>184</v>
      </c>
      <c r="J402" s="12" t="s">
        <v>185</v>
      </c>
    </row>
    <row r="403" spans="1:10" ht="38.25" x14ac:dyDescent="0.25">
      <c r="A403" s="2" t="s">
        <v>20</v>
      </c>
      <c r="B403" s="3" t="s">
        <v>91</v>
      </c>
      <c r="C403" s="4" t="str">
        <f>HYPERLINK("https://transparencia-area-fim.mpce.mp.br/#/consulta/processo/pastadigital/092024000108657","09.2024.00010865-7")</f>
        <v>09.2024.00010865-7</v>
      </c>
      <c r="D403" s="5">
        <v>45378</v>
      </c>
      <c r="E403" s="9" t="s">
        <v>467</v>
      </c>
      <c r="F403" s="3" t="s">
        <v>70</v>
      </c>
      <c r="G403" s="6" t="str">
        <f>HYPERLINK("http://www8.mpce.mp.br/Empenhos/150001/NE/2024NE000619.pdf","2024NE000619")</f>
        <v>2024NE000619</v>
      </c>
      <c r="H403" s="7">
        <v>117.84</v>
      </c>
      <c r="I403" s="8" t="s">
        <v>103</v>
      </c>
      <c r="J403" s="12" t="s">
        <v>104</v>
      </c>
    </row>
    <row r="404" spans="1:10" ht="25.5" x14ac:dyDescent="0.25">
      <c r="A404" s="2" t="s">
        <v>20</v>
      </c>
      <c r="B404" s="3" t="s">
        <v>91</v>
      </c>
      <c r="C404" s="4" t="str">
        <f>HYPERLINK("https://transparencia-area-fim.mpce.mp.br/#/consulta/processo/pastadigital/092024000108679","09.2024.00010867-9")</f>
        <v>09.2024.00010867-9</v>
      </c>
      <c r="D404" s="5">
        <v>45378</v>
      </c>
      <c r="E404" s="9" t="s">
        <v>468</v>
      </c>
      <c r="F404" s="3" t="s">
        <v>70</v>
      </c>
      <c r="G404" s="6" t="str">
        <f>HYPERLINK("http://www8.mpce.mp.br/Empenhos/150001/NE/2024NE000620.pdf","2024NE000620")</f>
        <v>2024NE000620</v>
      </c>
      <c r="H404" s="7">
        <v>608.22</v>
      </c>
      <c r="I404" s="8" t="s">
        <v>106</v>
      </c>
      <c r="J404" s="12" t="s">
        <v>107</v>
      </c>
    </row>
    <row r="405" spans="1:10" ht="153" x14ac:dyDescent="0.25">
      <c r="A405" s="2" t="s">
        <v>45</v>
      </c>
      <c r="B405" s="3" t="s">
        <v>679</v>
      </c>
      <c r="C405" s="4" t="str">
        <f>HYPERLINK("https://transparencia-area-fim.mpce.mp.br/#/consulta/processo/pastadigital/092023000287468","09.2023.00028746-8")</f>
        <v>09.2023.00028746-8</v>
      </c>
      <c r="D405" s="5">
        <v>45469</v>
      </c>
      <c r="E405" s="9" t="s">
        <v>680</v>
      </c>
      <c r="F405" s="3" t="s">
        <v>681</v>
      </c>
      <c r="G405" s="6" t="str">
        <f>HYPERLINK("http://www8.mpce.mp.br/Empenhos/150501/NE/2024NE000622.pdf","2024NE000622")</f>
        <v>2024NE000622</v>
      </c>
      <c r="H405" s="7">
        <v>342949.76</v>
      </c>
      <c r="I405" s="8" t="s">
        <v>255</v>
      </c>
      <c r="J405" s="12" t="s">
        <v>256</v>
      </c>
    </row>
    <row r="406" spans="1:10" ht="38.25" x14ac:dyDescent="0.25">
      <c r="A406" s="2" t="s">
        <v>20</v>
      </c>
      <c r="B406" s="3" t="s">
        <v>91</v>
      </c>
      <c r="C406" s="4" t="str">
        <f>HYPERLINK("https://transparencia-area-fim.mpce.mp.br/#/consulta/processo/pastadigital/092024000108724","09.2024.00010872-4")</f>
        <v>09.2024.00010872-4</v>
      </c>
      <c r="D406" s="5">
        <v>45378</v>
      </c>
      <c r="E406" s="9" t="s">
        <v>469</v>
      </c>
      <c r="F406" s="3" t="s">
        <v>70</v>
      </c>
      <c r="G406" s="6" t="str">
        <f>HYPERLINK("http://www8.mpce.mp.br/Empenhos/150001/NE/2024NE000622.pdf","2024NE000622")</f>
        <v>2024NE000622</v>
      </c>
      <c r="H406" s="7">
        <v>450</v>
      </c>
      <c r="I406" s="8" t="s">
        <v>118</v>
      </c>
      <c r="J406" s="12" t="s">
        <v>119</v>
      </c>
    </row>
    <row r="407" spans="1:10" ht="51" x14ac:dyDescent="0.25">
      <c r="A407" s="2" t="s">
        <v>45</v>
      </c>
      <c r="B407" s="3" t="s">
        <v>660</v>
      </c>
      <c r="C407" s="4" t="str">
        <f>HYPERLINK("https://transparencia-area-fim.mpce.mp.br/#/consulta/processo/pastadigital/092021000079244","09.2021.00007924-4")</f>
        <v>09.2021.00007924-4</v>
      </c>
      <c r="D407" s="5">
        <v>45467</v>
      </c>
      <c r="E407" s="9" t="str">
        <f>HYPERLINK("https://www8.mpce.mp.br/Empenhos/150001/Objeto/27-2021.pdf","EMPENHO REF. REEMBOLSO DE IPTU DE IMÓVEL ONDE FUNCIONA SEDE DE PROMOTORIAS DE JUSTIÇA DA COMARCA DE EUSÉBIO, CONF. CONTRATO 027/2021, REF. 2024 - 3ª PARCELA.")</f>
        <v>EMPENHO REF. REEMBOLSO DE IPTU DE IMÓVEL ONDE FUNCIONA SEDE DE PROMOTORIAS DE JUSTIÇA DA COMARCA DE EUSÉBIO, CONF. CONTRATO 027/2021, REF. 2024 - 3ª PARCELA.</v>
      </c>
      <c r="F407" s="3" t="s">
        <v>264</v>
      </c>
      <c r="G407" s="6" t="str">
        <f>HYPERLINK("http://www8.mpce.mp.br/Empenhos/150501/NE/2024NE000623.pdf","2024NE000623")</f>
        <v>2024NE000623</v>
      </c>
      <c r="H407" s="7">
        <v>729.87</v>
      </c>
      <c r="I407" s="8" t="s">
        <v>155</v>
      </c>
      <c r="J407" s="12" t="s">
        <v>156</v>
      </c>
    </row>
    <row r="408" spans="1:10" ht="51" x14ac:dyDescent="0.25">
      <c r="A408" s="2" t="s">
        <v>45</v>
      </c>
      <c r="B408" s="3" t="s">
        <v>666</v>
      </c>
      <c r="C408" s="4" t="str">
        <f>HYPERLINK("https://transparencia-area-fim.mpce.mp.br/#/consulta/processo/pastadigital/092021000219739","09.2021.00021973-9")</f>
        <v>09.2021.00021973-9</v>
      </c>
      <c r="D408" s="5">
        <v>45467</v>
      </c>
      <c r="E408" s="9" t="str">
        <f>HYPERLINK("https://www8.mpce.mp.br/Empenhos/150001/Objeto/45-2021.pdf","EMPENHO REF. REEMBOLSO DE IPTU DE IMÓVEL SITUADO NO EUSÉBIO-CE, ONDE FUNCIONA SEDE DE PROMOTORIAS DE JUSTIÇA DAQUELA COMARCA, CONF. CONTRATO 045/2021, REF. 2024 - 3ª PARCELA.")</f>
        <v>EMPENHO REF. REEMBOLSO DE IPTU DE IMÓVEL SITUADO NO EUSÉBIO-CE, ONDE FUNCIONA SEDE DE PROMOTORIAS DE JUSTIÇA DAQUELA COMARCA, CONF. CONTRATO 045/2021, REF. 2024 - 3ª PARCELA.</v>
      </c>
      <c r="F408" s="3" t="s">
        <v>264</v>
      </c>
      <c r="G408" s="6" t="str">
        <f>HYPERLINK("http://www8.mpce.mp.br/Empenhos/150501/NE/2024NE000625.pdf","2024NE000625")</f>
        <v>2024NE000625</v>
      </c>
      <c r="H408" s="7">
        <v>152.37</v>
      </c>
      <c r="I408" s="8" t="s">
        <v>155</v>
      </c>
      <c r="J408" s="12" t="s">
        <v>156</v>
      </c>
    </row>
    <row r="409" spans="1:10" ht="63.75" x14ac:dyDescent="0.25">
      <c r="A409" s="2" t="s">
        <v>45</v>
      </c>
      <c r="B409" s="3" t="s">
        <v>682</v>
      </c>
      <c r="C409" s="4" t="str">
        <f>HYPERLINK("https://transparencia-area-fim.mpce.mp.br/#/consulta/processo/pastadigital/092024000120372","09.2024.00012037-2")</f>
        <v>09.2024.00012037-2</v>
      </c>
      <c r="D409" s="5">
        <v>45467</v>
      </c>
      <c r="E409" s="9" t="str">
        <f>HYPERLINK("https://www8.mpce.mp.br/Empenhos/150001/Objeto/41-2024.pdf","EMPENHO REF. SERVIÇOS TÉCNICOS E ESPECIALIZADOS PARA REALIZAÇÃO DE PROCESSO SELETIVO DE ESTAGIÁRIOS DE GRADUAÇÃO E DE RESIDENTES, POR MEIO DE DISPENSA DE LICITAÇÃO, CONF. CONTRATO 041/2024, REF. JUN-DEZ/2024, POR ESTIMATIVA.")</f>
        <v>EMPENHO REF. SERVIÇOS TÉCNICOS E ESPECIALIZADOS PARA REALIZAÇÃO DE PROCESSO SELETIVO DE ESTAGIÁRIOS DE GRADUAÇÃO E DE RESIDENTES, POR MEIO DE DISPENSA DE LICITAÇÃO, CONF. CONTRATO 041/2024, REF. JUN-DEZ/2024, POR ESTIMATIVA.</v>
      </c>
      <c r="F409" s="3" t="s">
        <v>683</v>
      </c>
      <c r="G409" s="6" t="str">
        <f>HYPERLINK("http://www8.mpce.mp.br/Empenhos/150501/NE/2024NE000626.pdf","2024NE000626")</f>
        <v>2024NE000626</v>
      </c>
      <c r="H409" s="7">
        <v>435000</v>
      </c>
      <c r="I409" s="8" t="s">
        <v>684</v>
      </c>
      <c r="J409" s="12" t="s">
        <v>685</v>
      </c>
    </row>
    <row r="410" spans="1:10" ht="140.25" x14ac:dyDescent="0.25">
      <c r="A410" s="2" t="s">
        <v>45</v>
      </c>
      <c r="B410" s="3" t="s">
        <v>686</v>
      </c>
      <c r="C410" s="4" t="str">
        <f>HYPERLINK("https://transparencia-area-fim.mpce.mp.br/#/consulta/processo/pastadigital/092021000349974","09.2021.00034997-4")</f>
        <v>09.2021.00034997-4</v>
      </c>
      <c r="D410" s="5">
        <v>45469</v>
      </c>
      <c r="E410" s="9" t="s">
        <v>687</v>
      </c>
      <c r="F410" s="3" t="s">
        <v>681</v>
      </c>
      <c r="G410" s="6" t="str">
        <f>HYPERLINK("http://www8.mpce.mp.br/Empenhos/150501/NE/2024NE000631.pdf","2024NE000631")</f>
        <v>2024NE000631</v>
      </c>
      <c r="H410" s="7">
        <v>41400</v>
      </c>
      <c r="I410" s="8" t="s">
        <v>255</v>
      </c>
      <c r="J410" s="12" t="s">
        <v>256</v>
      </c>
    </row>
    <row r="411" spans="1:10" ht="38.25" x14ac:dyDescent="0.25">
      <c r="A411" s="2" t="s">
        <v>20</v>
      </c>
      <c r="B411" s="3" t="s">
        <v>91</v>
      </c>
      <c r="C411" s="4" t="str">
        <f>HYPERLINK("https://transparencia-area-fim.mpce.mp.br/#/consulta/processo/pastadigital/092024000110963","09.2024.00011096-3")</f>
        <v>09.2024.00011096-3</v>
      </c>
      <c r="D411" s="5">
        <v>45378</v>
      </c>
      <c r="E411" s="9" t="s">
        <v>470</v>
      </c>
      <c r="F411" s="3" t="s">
        <v>70</v>
      </c>
      <c r="G411" s="6" t="str">
        <f>HYPERLINK("http://www8.mpce.mp.br/Empenhos/150001/NE/2024NE000638.pdf","2024NE000638")</f>
        <v>2024NE000638</v>
      </c>
      <c r="H411" s="7">
        <v>60.78</v>
      </c>
      <c r="I411" s="8" t="s">
        <v>96</v>
      </c>
      <c r="J411" s="12" t="s">
        <v>97</v>
      </c>
    </row>
    <row r="412" spans="1:10" ht="25.5" x14ac:dyDescent="0.25">
      <c r="A412" s="2" t="s">
        <v>20</v>
      </c>
      <c r="B412" s="3" t="s">
        <v>471</v>
      </c>
      <c r="C412" s="4" t="str">
        <f>HYPERLINK("https://transparencia-area-fim.mpce.mp.br/#/consulta/processo/pastadigital/092024000111007","09.2024.00011100-7")</f>
        <v>09.2024.00011100-7</v>
      </c>
      <c r="D412" s="5">
        <v>45383</v>
      </c>
      <c r="E412" s="9" t="s">
        <v>472</v>
      </c>
      <c r="F412" s="3" t="s">
        <v>70</v>
      </c>
      <c r="G412" s="6" t="str">
        <f>HYPERLINK("http://www8.mpce.mp.br/Empenhos/150001/NE/2024NE000642.pdf","2024NE000642")</f>
        <v>2024NE000642</v>
      </c>
      <c r="H412" s="7">
        <v>600</v>
      </c>
      <c r="I412" s="8" t="s">
        <v>89</v>
      </c>
      <c r="J412" s="12" t="s">
        <v>90</v>
      </c>
    </row>
    <row r="413" spans="1:10" ht="51" x14ac:dyDescent="0.25">
      <c r="A413" s="2" t="s">
        <v>45</v>
      </c>
      <c r="B413" s="3" t="s">
        <v>688</v>
      </c>
      <c r="C413" s="4" t="str">
        <f>HYPERLINK("http://www8.mpce.mp.br/Dispensa/842220170.pdf","8422/20170")</f>
        <v>8422/20170</v>
      </c>
      <c r="D413" s="5">
        <v>45474</v>
      </c>
      <c r="E413" s="9" t="str">
        <f>HYPERLINK("https://www8.mpce.mp.br/Empenhos/150001/Objeto/16-2017.pdf","EMPENHO REF. REEMBOLSO DE IPTU DE IMÓVEL ONDE FUNCIONA SEDE DE PROMOTORIAS DE JUSTIÇA CRIMINAL DE FORTALEZA, CONF. CONTRATO 016/2017, REF. 2024 - 5ª PARCELA.")</f>
        <v>EMPENHO REF. REEMBOLSO DE IPTU DE IMÓVEL ONDE FUNCIONA SEDE DE PROMOTORIAS DE JUSTIÇA CRIMINAL DE FORTALEZA, CONF. CONTRATO 016/2017, REF. 2024 - 5ª PARCELA.</v>
      </c>
      <c r="F413" s="3" t="s">
        <v>264</v>
      </c>
      <c r="G413" s="6" t="str">
        <f>HYPERLINK("http://www8.mpce.mp.br/Empenhos/150501/NE/2024NE000643.pdf","2024NE000643")</f>
        <v>2024NE000643</v>
      </c>
      <c r="H413" s="7">
        <v>2619.0100000000002</v>
      </c>
      <c r="I413" s="8" t="s">
        <v>169</v>
      </c>
      <c r="J413" s="12" t="s">
        <v>170</v>
      </c>
    </row>
    <row r="414" spans="1:10" ht="38.25" x14ac:dyDescent="0.25">
      <c r="A414" s="2" t="s">
        <v>20</v>
      </c>
      <c r="B414" s="3" t="s">
        <v>471</v>
      </c>
      <c r="C414" s="4" t="str">
        <f>HYPERLINK("https://transparencia-area-fim.mpce.mp.br/#/consulta/processo/pastadigital/092024000111395","09.2024.00011139-5")</f>
        <v>09.2024.00011139-5</v>
      </c>
      <c r="D414" s="5">
        <v>45383</v>
      </c>
      <c r="E414" s="9" t="s">
        <v>473</v>
      </c>
      <c r="F414" s="3" t="s">
        <v>70</v>
      </c>
      <c r="G414" s="6" t="str">
        <f>HYPERLINK("http://www8.mpce.mp.br/Empenhos/150001/NE/2024NE000644.pdf","2024NE000644")</f>
        <v>2024NE000644</v>
      </c>
      <c r="H414" s="7">
        <v>271.32</v>
      </c>
      <c r="I414" s="8" t="s">
        <v>86</v>
      </c>
      <c r="J414" s="12" t="s">
        <v>87</v>
      </c>
    </row>
    <row r="415" spans="1:10" ht="63.75" x14ac:dyDescent="0.25">
      <c r="A415" s="2" t="s">
        <v>20</v>
      </c>
      <c r="B415" s="3" t="s">
        <v>689</v>
      </c>
      <c r="C415" s="4" t="str">
        <f>HYPERLINK("https://transparencia-area-fim.mpce.mp.br/#/consulta/processo/pastadigital/092021000000456","09.2021.00000045-6")</f>
        <v>09.2021.00000045-6</v>
      </c>
      <c r="D415" s="5">
        <v>45475</v>
      </c>
      <c r="E415" s="9" t="str">
        <f>HYPERLINK("https://www8.mpce.mp.br/Empenhos/150001/Objeto/02-2021.pdf","PRESTAÇÃO DE SERVIÇO DE SUPORTE TÉCNICO DA SOLUÇÃO GUARDIÃO WEB-BY NGC, REF. AO MÊS DE JULHO DE 2024, CONF. CONTRATO Nº 002/2021/PGJ (4º ADITIVO), CELEBRADO COM A EMPRESA DÍGITO TECNOLOGIA LTDA (NÚCLEO DE INTELIGÊNCIA E APOIO TÉCNICO - NATI).")</f>
        <v>PRESTAÇÃO DE SERVIÇO DE SUPORTE TÉCNICO DA SOLUÇÃO GUARDIÃO WEB-BY NGC, REF. AO MÊS DE JULHO DE 2024, CONF. CONTRATO Nº 002/2021/PGJ (4º ADITIVO), CELEBRADO COM A EMPRESA DÍGITO TECNOLOGIA LTDA (NÚCLEO DE INTELIGÊNCIA E APOIO TÉCNICO - NATI).</v>
      </c>
      <c r="F415" s="3" t="s">
        <v>71</v>
      </c>
      <c r="G415" s="6" t="str">
        <f>HYPERLINK("http://www8.mpce.mp.br/Empenhos/150501/NE/2024NE000646.pdf","2024NE000646")</f>
        <v>2024NE000646</v>
      </c>
      <c r="H415" s="7">
        <v>18263.46</v>
      </c>
      <c r="I415" s="8" t="s">
        <v>33</v>
      </c>
      <c r="J415" s="12" t="s">
        <v>34</v>
      </c>
    </row>
    <row r="416" spans="1:10" ht="127.5" x14ac:dyDescent="0.25">
      <c r="A416" s="2" t="s">
        <v>20</v>
      </c>
      <c r="B416" s="3" t="s">
        <v>690</v>
      </c>
      <c r="C416" s="4" t="str">
        <f>HYPERLINK("https://transparencia-area-fim.mpce.mp.br/#/consulta/processo/pastadigital/092023000079630","09.2023.00007963-0")</f>
        <v>09.2023.00007963-0</v>
      </c>
      <c r="D416" s="5">
        <v>45477</v>
      </c>
      <c r="E416" s="9" t="s">
        <v>691</v>
      </c>
      <c r="F416" s="3" t="s">
        <v>120</v>
      </c>
      <c r="G416" s="6" t="str">
        <f>HYPERLINK("http://www8.mpce.mp.br/Empenhos/150501/NE/2024NE000660.pdf","2024NE000660")</f>
        <v>2024NE000660</v>
      </c>
      <c r="H416" s="7">
        <v>131200</v>
      </c>
      <c r="I416" s="8" t="s">
        <v>124</v>
      </c>
      <c r="J416" s="12" t="s">
        <v>125</v>
      </c>
    </row>
    <row r="417" spans="1:10" ht="45" x14ac:dyDescent="0.25">
      <c r="A417" s="2" t="s">
        <v>45</v>
      </c>
      <c r="B417" s="3" t="s">
        <v>686</v>
      </c>
      <c r="C417" s="4" t="str">
        <f>HYPERLINK("https://transparencia-area-fim.mpce.mp.br/#/consulta/processo/pastadigital/092021000349974","09.2021.00034997-4")</f>
        <v>09.2021.00034997-4</v>
      </c>
      <c r="D417" s="5">
        <v>45477</v>
      </c>
      <c r="E417" s="9" t="str">
        <f>HYPERLINK("https://www8.mpce.mp.br/Empenhos/150001/Objeto/01-2022.pdf","EMPENHO REF. SERVIÇO DE DISPONIBILIZAÇÃO DE SOLUÇÃO TECNOLÓGICA (SAAS) MULTICANAL, CONF. CONTRATO 001/2022, REF. JUL/2024, POR ESTIMATIVA.")</f>
        <v>EMPENHO REF. SERVIÇO DE DISPONIBILIZAÇÃO DE SOLUÇÃO TECNOLÓGICA (SAAS) MULTICANAL, CONF. CONTRATO 001/2022, REF. JUL/2024, POR ESTIMATIVA.</v>
      </c>
      <c r="F417" s="3" t="s">
        <v>681</v>
      </c>
      <c r="G417" s="6" t="str">
        <f>HYPERLINK("http://www8.mpce.mp.br/Empenhos/150501/NE/2024NE000662.pdf","2024NE000662")</f>
        <v>2024NE000662</v>
      </c>
      <c r="H417" s="7">
        <v>13800</v>
      </c>
      <c r="I417" s="8" t="s">
        <v>255</v>
      </c>
      <c r="J417" s="12" t="s">
        <v>256</v>
      </c>
    </row>
    <row r="418" spans="1:10" ht="63.75" x14ac:dyDescent="0.25">
      <c r="A418" s="2" t="s">
        <v>45</v>
      </c>
      <c r="B418" s="3" t="s">
        <v>692</v>
      </c>
      <c r="C418" s="4" t="str">
        <f>HYPERLINK("https://transparencia-area-fim.mpce.mp.br/#/consulta/processo/pastadigital/092023000117363","09.2023.00011736-3")</f>
        <v>09.2023.00011736-3</v>
      </c>
      <c r="D418" s="5">
        <v>45477</v>
      </c>
      <c r="E418" s="9" t="str">
        <f>HYPERLINK("https://www8.mpce.mp.br/Empenhos/150001/Objeto/32-2023.pdf","SUPLEMENTAÇÃO DA NED 2024NE000332 (DISPONIBILIZAÇÃO DE SOLUÇÃO TECNOLÓGICA, NA MODALIDADE SOFTWARE - SAAS, CONF. CONTRATO 032/2023, REF. ABR/2024), PARA CONTEMPLAR TAMBÉM AS COMPETÊNCIAS MAI E JUN/2024 TAMBÉM SOLICITADAS ÀS FLS. 27/28.")</f>
        <v>SUPLEMENTAÇÃO DA NED 2024NE000332 (DISPONIBILIZAÇÃO DE SOLUÇÃO TECNOLÓGICA, NA MODALIDADE SOFTWARE - SAAS, CONF. CONTRATO 032/2023, REF. ABR/2024), PARA CONTEMPLAR TAMBÉM AS COMPETÊNCIAS MAI E JUN/2024 TAMBÉM SOLICITADAS ÀS FLS. 27/28.</v>
      </c>
      <c r="F418" s="3" t="s">
        <v>681</v>
      </c>
      <c r="G418" s="6" t="str">
        <f>HYPERLINK("http://www8.mpce.mp.br/Empenhos/150501/NE/2024NE000663.pdf","2024NE000663")</f>
        <v>2024NE000663</v>
      </c>
      <c r="H418" s="7">
        <v>12432.84</v>
      </c>
      <c r="I418" s="8" t="s">
        <v>255</v>
      </c>
      <c r="J418" s="12" t="s">
        <v>256</v>
      </c>
    </row>
    <row r="419" spans="1:10" ht="38.25" x14ac:dyDescent="0.25">
      <c r="A419" s="2" t="s">
        <v>45</v>
      </c>
      <c r="B419" s="3" t="s">
        <v>693</v>
      </c>
      <c r="C419" s="4" t="str">
        <f>HYPERLINK("http://www8.mpce.mp.br/Dispensa/3072520194.pdf","30725/2019-4")</f>
        <v>30725/2019-4</v>
      </c>
      <c r="D419" s="5">
        <v>45478</v>
      </c>
      <c r="E419" s="9" t="str">
        <f>HYPERLINK("https://www8.mpce.mp.br/Empenhos/150001/Objeto/06-2020.pdf","REFERENTE A SOLICITAÇÃO DE SERVIÇOS: LINK DE DADOS, SERVIÇO DE NUVEM E HORAS IMPRODUTIVAS, DO MÊS DE JULHO DE 2024, CONF. CONTRATO Nº 006/2020.")</f>
        <v>REFERENTE A SOLICITAÇÃO DE SERVIÇOS: LINK DE DADOS, SERVIÇO DE NUVEM E HORAS IMPRODUTIVAS, DO MÊS DE JULHO DE 2024, CONF. CONTRATO Nº 006/2020.</v>
      </c>
      <c r="F419" s="3" t="s">
        <v>694</v>
      </c>
      <c r="G419" s="6" t="str">
        <f>HYPERLINK("http://www8.mpce.mp.br/Empenhos/150501/NE/2024NE000664.pdf","2024NE000664")</f>
        <v>2024NE000664</v>
      </c>
      <c r="H419" s="7">
        <v>22563.68</v>
      </c>
      <c r="I419" s="8" t="s">
        <v>255</v>
      </c>
      <c r="J419" s="12" t="s">
        <v>256</v>
      </c>
    </row>
    <row r="420" spans="1:10" ht="63.75" x14ac:dyDescent="0.25">
      <c r="A420" s="2" t="s">
        <v>45</v>
      </c>
      <c r="B420" s="3" t="s">
        <v>695</v>
      </c>
      <c r="C420" s="4" t="str">
        <f>HYPERLINK("https://transparencia-area-fim.mpce.mp.br/#/consulta/processo/pastadigital/092023000388810","09.2023.00038881-0")</f>
        <v>09.2023.00038881-0</v>
      </c>
      <c r="D420" s="5">
        <v>45477</v>
      </c>
      <c r="E420" s="9" t="str">
        <f>HYPERLINK("https://www8.mpce.mp.br/Empenhos/150001/Objeto/22-2024.pdf","EMPENHO REF. SERVIÇOS DE SOLUÇÃO EM NUVEM DE PROTEÇÃO, GESTÃO, AVALIAÇÃO DE POSTURA E CONECTIVIDADE PARA NUVEM, INCLUINDO IMPLANTAÇÃO, MONITORAMENTO E SUPORTE TÉCNICO, CONF. CONTRATO 022/2024, REF. JUL/2024, POR ESTIMATIVA.")</f>
        <v>EMPENHO REF. SERVIÇOS DE SOLUÇÃO EM NUVEM DE PROTEÇÃO, GESTÃO, AVALIAÇÃO DE POSTURA E CONECTIVIDADE PARA NUVEM, INCLUINDO IMPLANTAÇÃO, MONITORAMENTO E SUPORTE TÉCNICO, CONF. CONTRATO 022/2024, REF. JUL/2024, POR ESTIMATIVA.</v>
      </c>
      <c r="F420" s="3" t="s">
        <v>572</v>
      </c>
      <c r="G420" s="6" t="str">
        <f>HYPERLINK("http://www8.mpce.mp.br/Empenhos/150501/NE/2024NE000666.pdf","2024NE000666")</f>
        <v>2024NE000666</v>
      </c>
      <c r="H420" s="7">
        <v>35718.5</v>
      </c>
      <c r="I420" s="8" t="s">
        <v>255</v>
      </c>
      <c r="J420" s="12" t="s">
        <v>256</v>
      </c>
    </row>
    <row r="421" spans="1:10" ht="38.25" x14ac:dyDescent="0.25">
      <c r="A421" s="2" t="s">
        <v>20</v>
      </c>
      <c r="B421" s="3" t="s">
        <v>21</v>
      </c>
      <c r="C421" s="4" t="str">
        <f>HYPERLINK("https://transparencia-area-fim.mpce.mp.br/#/consulta/processo/pastadigital/092024000111429","09.2024.00011142-9")</f>
        <v>09.2024.00011142-9</v>
      </c>
      <c r="D421" s="5">
        <v>45383</v>
      </c>
      <c r="E421" s="9" t="s">
        <v>474</v>
      </c>
      <c r="F421" s="3" t="s">
        <v>70</v>
      </c>
      <c r="G421" s="6" t="str">
        <f>HYPERLINK("http://www8.mpce.mp.br/Empenhos/150001/NE/2024NE000673.pdf","2024NE000673")</f>
        <v>2024NE000673</v>
      </c>
      <c r="H421" s="7">
        <v>900</v>
      </c>
      <c r="I421" s="8" t="s">
        <v>80</v>
      </c>
      <c r="J421" s="12" t="s">
        <v>81</v>
      </c>
    </row>
    <row r="422" spans="1:10" ht="38.25" x14ac:dyDescent="0.25">
      <c r="A422" s="2" t="s">
        <v>20</v>
      </c>
      <c r="B422" s="3" t="s">
        <v>475</v>
      </c>
      <c r="C422" s="4" t="str">
        <f>HYPERLINK("https://transparencia-area-fim.mpce.mp.br/#/consulta/processo/pastadigital/092024000111430","09.2024.00011143-0")</f>
        <v>09.2024.00011143-0</v>
      </c>
      <c r="D422" s="5">
        <v>45383</v>
      </c>
      <c r="E422" s="9" t="s">
        <v>476</v>
      </c>
      <c r="F422" s="3" t="s">
        <v>70</v>
      </c>
      <c r="G422" s="6" t="str">
        <f>HYPERLINK("http://www8.mpce.mp.br/Empenhos/150001/NE/2024NE000684.pdf","2024NE000684")</f>
        <v>2024NE000684</v>
      </c>
      <c r="H422" s="7">
        <v>188.73</v>
      </c>
      <c r="I422" s="8" t="s">
        <v>77</v>
      </c>
      <c r="J422" s="12" t="s">
        <v>78</v>
      </c>
    </row>
    <row r="423" spans="1:10" ht="38.25" x14ac:dyDescent="0.25">
      <c r="A423" s="2" t="s">
        <v>20</v>
      </c>
      <c r="B423" s="3" t="s">
        <v>475</v>
      </c>
      <c r="C423" s="4" t="str">
        <f>HYPERLINK("https://transparencia-area-fim.mpce.mp.br/#/consulta/processo/pastadigital/092024000111473","09.2024.00011147-3")</f>
        <v>09.2024.00011147-3</v>
      </c>
      <c r="D423" s="5">
        <v>45383</v>
      </c>
      <c r="E423" s="9" t="s">
        <v>477</v>
      </c>
      <c r="F423" s="3" t="s">
        <v>70</v>
      </c>
      <c r="G423" s="6" t="str">
        <f>HYPERLINK("http://www8.mpce.mp.br/Empenhos/150001/NE/2024NE000685.pdf","2024NE000685")</f>
        <v>2024NE000685</v>
      </c>
      <c r="H423" s="7">
        <v>150</v>
      </c>
      <c r="I423" s="8" t="s">
        <v>74</v>
      </c>
      <c r="J423" s="12" t="s">
        <v>75</v>
      </c>
    </row>
    <row r="424" spans="1:10" ht="38.25" x14ac:dyDescent="0.25">
      <c r="A424" s="2" t="s">
        <v>20</v>
      </c>
      <c r="B424" s="3" t="s">
        <v>21</v>
      </c>
      <c r="C424" s="4" t="str">
        <f>HYPERLINK("https://transparencia-area-fim.mpce.mp.br/#/consulta/processo/pastadigital/092024000111562","09.2024.00011156-2")</f>
        <v>09.2024.00011156-2</v>
      </c>
      <c r="D424" s="5">
        <v>45383</v>
      </c>
      <c r="E424" s="9" t="s">
        <v>478</v>
      </c>
      <c r="F424" s="3" t="s">
        <v>70</v>
      </c>
      <c r="G424" s="6" t="str">
        <f>HYPERLINK("http://www8.mpce.mp.br/Empenhos/150001/NE/2024NE000686.pdf","2024NE000686")</f>
        <v>2024NE000686</v>
      </c>
      <c r="H424" s="7">
        <v>900</v>
      </c>
      <c r="I424" s="8" t="s">
        <v>43</v>
      </c>
      <c r="J424" s="12" t="s">
        <v>44</v>
      </c>
    </row>
    <row r="425" spans="1:10" ht="38.25" x14ac:dyDescent="0.25">
      <c r="A425" s="2" t="s">
        <v>20</v>
      </c>
      <c r="B425" s="3" t="s">
        <v>475</v>
      </c>
      <c r="C425" s="4" t="str">
        <f>HYPERLINK("https://transparencia-area-fim.mpce.mp.br/#/consulta/processo/pastadigital/092024000112406","09.2024.00011240-6")</f>
        <v>09.2024.00011240-6</v>
      </c>
      <c r="D425" s="5">
        <v>45383</v>
      </c>
      <c r="E425" s="9" t="s">
        <v>479</v>
      </c>
      <c r="F425" s="3" t="s">
        <v>70</v>
      </c>
      <c r="G425" s="6" t="str">
        <f>HYPERLINK("http://www8.mpce.mp.br/Empenhos/150001/NE/2024NE000690.pdf","2024NE000690")</f>
        <v>2024NE000690</v>
      </c>
      <c r="H425" s="7">
        <v>735.48</v>
      </c>
      <c r="I425" s="8" t="s">
        <v>38</v>
      </c>
      <c r="J425" s="12" t="s">
        <v>39</v>
      </c>
    </row>
    <row r="426" spans="1:10" ht="38.25" x14ac:dyDescent="0.25">
      <c r="A426" s="2" t="s">
        <v>20</v>
      </c>
      <c r="B426" s="3" t="s">
        <v>21</v>
      </c>
      <c r="C426" s="4" t="str">
        <f>HYPERLINK("https://transparencia-area-fim.mpce.mp.br/#/consulta/processo/pastadigital/092024000112417","09.2024.00011241-7")</f>
        <v>09.2024.00011241-7</v>
      </c>
      <c r="D426" s="5">
        <v>45383</v>
      </c>
      <c r="E426" s="9" t="s">
        <v>480</v>
      </c>
      <c r="F426" s="3" t="s">
        <v>70</v>
      </c>
      <c r="G426" s="6" t="str">
        <f>HYPERLINK("http://www8.mpce.mp.br/Empenhos/150001/NE/2024NE000692.pdf","2024NE000692")</f>
        <v>2024NE000692</v>
      </c>
      <c r="H426" s="7">
        <v>226.05</v>
      </c>
      <c r="I426" s="8" t="s">
        <v>25</v>
      </c>
      <c r="J426" s="12" t="s">
        <v>26</v>
      </c>
    </row>
    <row r="427" spans="1:10" ht="38.25" x14ac:dyDescent="0.25">
      <c r="A427" s="2" t="s">
        <v>20</v>
      </c>
      <c r="B427" s="3" t="s">
        <v>475</v>
      </c>
      <c r="C427" s="4" t="str">
        <f>HYPERLINK("https://transparencia-area-fim.mpce.mp.br/#/consulta/processo/pastadigital/092024000112428","09.2024.00011242-8")</f>
        <v>09.2024.00011242-8</v>
      </c>
      <c r="D427" s="5">
        <v>45383</v>
      </c>
      <c r="E427" s="9" t="s">
        <v>481</v>
      </c>
      <c r="F427" s="3" t="s">
        <v>70</v>
      </c>
      <c r="G427" s="6" t="str">
        <f>HYPERLINK("http://www8.mpce.mp.br/Empenhos/150001/NE/2024NE000693.pdf","2024NE000693")</f>
        <v>2024NE000693</v>
      </c>
      <c r="H427" s="7">
        <v>615</v>
      </c>
      <c r="I427" s="8" t="s">
        <v>30</v>
      </c>
      <c r="J427" s="12" t="s">
        <v>31</v>
      </c>
    </row>
    <row r="428" spans="1:10" ht="38.25" x14ac:dyDescent="0.25">
      <c r="A428" s="2" t="s">
        <v>20</v>
      </c>
      <c r="B428" s="3" t="s">
        <v>21</v>
      </c>
      <c r="C428" s="4" t="str">
        <f>HYPERLINK("https://transparencia-area-fim.mpce.mp.br/#/consulta/processo/pastadigital/092024000112450","09.2024.00011245-0")</f>
        <v>09.2024.00011245-0</v>
      </c>
      <c r="D428" s="5">
        <v>45383</v>
      </c>
      <c r="E428" s="9" t="s">
        <v>482</v>
      </c>
      <c r="F428" s="3" t="s">
        <v>70</v>
      </c>
      <c r="G428" s="6" t="str">
        <f>HYPERLINK("http://www8.mpce.mp.br/Empenhos/150001/NE/2024NE000695.pdf","2024NE000695")</f>
        <v>2024NE000695</v>
      </c>
      <c r="H428" s="7">
        <v>3000</v>
      </c>
      <c r="I428" s="8" t="s">
        <v>109</v>
      </c>
      <c r="J428" s="12" t="s">
        <v>110</v>
      </c>
    </row>
    <row r="429" spans="1:10" ht="38.25" x14ac:dyDescent="0.25">
      <c r="A429" s="2" t="s">
        <v>20</v>
      </c>
      <c r="B429" s="3" t="s">
        <v>21</v>
      </c>
      <c r="C429" s="4" t="str">
        <f>HYPERLINK("https://transparencia-area-fim.mpce.mp.br/#/consulta/processo/pastadigital/092024000112483","09.2024.00011248-3")</f>
        <v>09.2024.00011248-3</v>
      </c>
      <c r="D429" s="5">
        <v>45383</v>
      </c>
      <c r="E429" s="9" t="s">
        <v>483</v>
      </c>
      <c r="F429" s="3" t="s">
        <v>70</v>
      </c>
      <c r="G429" s="6" t="str">
        <f>HYPERLINK("http://www8.mpce.mp.br/Empenhos/150001/NE/2024NE000696.pdf","2024NE000696")</f>
        <v>2024NE000696</v>
      </c>
      <c r="H429" s="7">
        <v>419.16</v>
      </c>
      <c r="I429" s="8" t="s">
        <v>112</v>
      </c>
      <c r="J429" s="12" t="s">
        <v>113</v>
      </c>
    </row>
    <row r="430" spans="1:10" ht="51" x14ac:dyDescent="0.25">
      <c r="A430" s="2" t="s">
        <v>45</v>
      </c>
      <c r="B430" s="3" t="s">
        <v>696</v>
      </c>
      <c r="C430" s="4" t="str">
        <f>HYPERLINK("https://transparencia-area-fim.mpce.mp.br/#/consulta/processo/pastadigital/092022000110511","09.2022.00011051-1")</f>
        <v>09.2022.00011051-1</v>
      </c>
      <c r="D430" s="5">
        <v>45478</v>
      </c>
      <c r="E430" s="9" t="str">
        <f>HYPERLINK("https://www8.mpce.mp.br/Empenhos/150001/Objeto/38-2022.pdf","IPTU DE 2024, PARCELA ÚNICA DAS PROMOTORIAS DE JUSTIÇA DA COMARCA DE NOVA OLINDA, REF. AO IMÓVEL LOCALIZADO NA RUA ANTONIETA LIMA, Nº 37, BAIRRO CAJUEIRO, CONF. CONTRATO Nº 038/2022.")</f>
        <v>IPTU DE 2024, PARCELA ÚNICA DAS PROMOTORIAS DE JUSTIÇA DA COMARCA DE NOVA OLINDA, REF. AO IMÓVEL LOCALIZADO NA RUA ANTONIETA LIMA, Nº 37, BAIRRO CAJUEIRO, CONF. CONTRATO Nº 038/2022.</v>
      </c>
      <c r="F430" s="3" t="s">
        <v>419</v>
      </c>
      <c r="G430" s="6" t="str">
        <f>HYPERLINK("http://www8.mpce.mp.br/Empenhos/150501/NE/2024NE000697.pdf","2024NE000697")</f>
        <v>2024NE000697</v>
      </c>
      <c r="H430" s="7">
        <v>460.12</v>
      </c>
      <c r="I430" s="8" t="s">
        <v>240</v>
      </c>
      <c r="J430" s="12" t="s">
        <v>241</v>
      </c>
    </row>
    <row r="431" spans="1:10" ht="140.25" x14ac:dyDescent="0.25">
      <c r="A431" s="2" t="s">
        <v>45</v>
      </c>
      <c r="B431" s="3" t="s">
        <v>697</v>
      </c>
      <c r="C431" s="4" t="str">
        <f>HYPERLINK("https://transparencia-area-fim.mpce.mp.br/#/consulta/processo/pastadigital/092022000111032","09.2022.00011103-2")</f>
        <v>09.2022.00011103-2</v>
      </c>
      <c r="D431" s="5">
        <v>45481</v>
      </c>
      <c r="E431" s="9" t="s">
        <v>698</v>
      </c>
      <c r="F431" s="3" t="s">
        <v>694</v>
      </c>
      <c r="G431" s="6" t="str">
        <f>HYPERLINK("http://www8.mpce.mp.br/Empenhos/150501/NE/2024NE000701.pdf","2024NE000701")</f>
        <v>2024NE000701</v>
      </c>
      <c r="H431" s="7">
        <v>31935.48</v>
      </c>
      <c r="I431" s="8" t="s">
        <v>255</v>
      </c>
      <c r="J431" s="12" t="s">
        <v>256</v>
      </c>
    </row>
    <row r="432" spans="1:10" ht="38.25" x14ac:dyDescent="0.25">
      <c r="A432" s="2" t="s">
        <v>20</v>
      </c>
      <c r="B432" s="3" t="s">
        <v>475</v>
      </c>
      <c r="C432" s="4" t="str">
        <f>HYPERLINK("https://transparencia-area-fim.mpce.mp.br/#/consulta/processo/pastadigital/092024000112517","09.2024.00011251-7")</f>
        <v>09.2024.00011251-7</v>
      </c>
      <c r="D432" s="5">
        <v>45384</v>
      </c>
      <c r="E432" s="9" t="s">
        <v>484</v>
      </c>
      <c r="F432" s="3" t="s">
        <v>70</v>
      </c>
      <c r="G432" s="6" t="str">
        <f>HYPERLINK("http://www8.mpce.mp.br/Empenhos/150001/NE/2024NE000702.pdf","2024NE000702")</f>
        <v>2024NE000702</v>
      </c>
      <c r="H432" s="7">
        <v>45000</v>
      </c>
      <c r="I432" s="8" t="s">
        <v>115</v>
      </c>
      <c r="J432" s="12" t="s">
        <v>116</v>
      </c>
    </row>
    <row r="433" spans="1:10" ht="51" x14ac:dyDescent="0.25">
      <c r="A433" s="2" t="s">
        <v>45</v>
      </c>
      <c r="B433" s="3" t="s">
        <v>485</v>
      </c>
      <c r="C433" s="4" t="str">
        <f>HYPERLINK("http://www8.mpce.mp.br/Dispensa/405320185.pdf","4053/2018-5")</f>
        <v>4053/2018-5</v>
      </c>
      <c r="D433" s="5">
        <v>45384</v>
      </c>
      <c r="E433" s="9" t="str">
        <f>HYPERLINK("https://www8.mpce.mp.br/Empenhos/150001/Objeto/35-2018.pdf","MANUTENÇÃO DE ELEVADOR NO PRÉDIO ANEXO DAS PROCURADORIAS, CONFORME CONTRATO 035/2018, POR ESTIMATIVA, RELATIVO AOS MESES DE ABRIL À JUNHO/2024.")</f>
        <v>MANUTENÇÃO DE ELEVADOR NO PRÉDIO ANEXO DAS PROCURADORIAS, CONFORME CONTRATO 035/2018, POR ESTIMATIVA, RELATIVO AOS MESES DE ABRIL À JUNHO/2024.</v>
      </c>
      <c r="F433" s="3" t="s">
        <v>148</v>
      </c>
      <c r="G433" s="6" t="str">
        <f>HYPERLINK("http://www8.mpce.mp.br/Empenhos/150001/NE/2024NE000703.pdf","2024NE000703")</f>
        <v>2024NE000703</v>
      </c>
      <c r="H433" s="7">
        <v>2850</v>
      </c>
      <c r="I433" s="8" t="s">
        <v>149</v>
      </c>
      <c r="J433" s="12" t="s">
        <v>150</v>
      </c>
    </row>
    <row r="434" spans="1:10" ht="76.5" x14ac:dyDescent="0.25">
      <c r="A434" s="2" t="s">
        <v>45</v>
      </c>
      <c r="B434" s="3" t="s">
        <v>699</v>
      </c>
      <c r="C434" s="4" t="str">
        <f>HYPERLINK("https://transparencia-area-fim.mpce.mp.br/#/consulta/processo/pastadigital/092023000117363","09.2023.00011736-3")</f>
        <v>09.2023.00011736-3</v>
      </c>
      <c r="D434" s="5">
        <v>45481</v>
      </c>
      <c r="E434" s="9" t="str">
        <f>HYPERLINK("https://www8.mpce.mp.br/Empenhos/150001/Objeto/32-2023.pdf","DISPONIBILIZAÇÃO DE SOLUÇÃO TECNOLÓGICA NA MODALIDADE SOFTWARE COMO SERVIÇO (SAAS) PARA GESTÃO INTEGRADA DE ESTRATÉGIA, PORTFÓLIO, PROJETOS, TAREFAS, REUNIÕES INDICADORES E PROCESSO, REF. AO MÊS DE JULHO DE 2024, CONF. CONTRATO Nº 032/2023.")</f>
        <v>DISPONIBILIZAÇÃO DE SOLUÇÃO TECNOLÓGICA NA MODALIDADE SOFTWARE COMO SERVIÇO (SAAS) PARA GESTÃO INTEGRADA DE ESTRATÉGIA, PORTFÓLIO, PROJETOS, TAREFAS, REUNIÕES INDICADORES E PROCESSO, REF. AO MÊS DE JULHO DE 2024, CONF. CONTRATO Nº 032/2023.</v>
      </c>
      <c r="F434" s="3" t="s">
        <v>681</v>
      </c>
      <c r="G434" s="6" t="str">
        <f>HYPERLINK("http://www8.mpce.mp.br/Empenhos/150501/NE/2024NE000703.pdf","2024NE000703")</f>
        <v>2024NE000703</v>
      </c>
      <c r="H434" s="7">
        <v>6216.42</v>
      </c>
      <c r="I434" s="8" t="s">
        <v>255</v>
      </c>
      <c r="J434" s="12" t="s">
        <v>256</v>
      </c>
    </row>
    <row r="435" spans="1:10" ht="25.5" x14ac:dyDescent="0.25">
      <c r="A435" s="2" t="s">
        <v>20</v>
      </c>
      <c r="B435" s="3" t="s">
        <v>700</v>
      </c>
      <c r="C435" s="4" t="str">
        <f>HYPERLINK("https://transparencia-area-fim.mpce.mp.br/#/consulta/processo/pastadigital/092023000255300","09.2023.00025530-0")</f>
        <v>09.2023.00025530-0</v>
      </c>
      <c r="D435" s="5">
        <v>45481</v>
      </c>
      <c r="E435" s="9" t="str">
        <f>HYPERLINK("https://www8.mpce.mp.br/Empenhos/150001/Objeto/42-2024.pdf","HOSPEDAGEM EM NUVEM, REF. AO MÊS JULHO DE 2024, CONF. CONTRATO Nº 042/2024.")</f>
        <v>HOSPEDAGEM EM NUVEM, REF. AO MÊS JULHO DE 2024, CONF. CONTRATO Nº 042/2024.</v>
      </c>
      <c r="F435" s="3" t="s">
        <v>701</v>
      </c>
      <c r="G435" s="6" t="str">
        <f>HYPERLINK("http://www8.mpce.mp.br/Empenhos/150501/NE/2024NE000704.pdf","2024NE000704")</f>
        <v>2024NE000704</v>
      </c>
      <c r="H435" s="7">
        <v>104500</v>
      </c>
      <c r="I435" s="8" t="s">
        <v>83</v>
      </c>
      <c r="J435" s="12" t="s">
        <v>84</v>
      </c>
    </row>
    <row r="436" spans="1:10" ht="38.25" x14ac:dyDescent="0.25">
      <c r="A436" s="2" t="s">
        <v>20</v>
      </c>
      <c r="B436" s="3" t="s">
        <v>702</v>
      </c>
      <c r="C436" s="4" t="str">
        <f>HYPERLINK("https://transparencia-area-fim.mpce.mp.br/#/consulta/processo/pastadigital/092023000255300","09.2023.00025530-0")</f>
        <v>09.2023.00025530-0</v>
      </c>
      <c r="D436" s="5">
        <v>45481</v>
      </c>
      <c r="E436" s="9" t="str">
        <f>HYPERLINK("https://www8.mpce.mp.br/Empenhos/150001/Objeto/42-2024.pdf","SERVIÇO DE SUPORTE ESTENDIDO, REF. AOS DE MESES DE JUNHO (PROPORCIONAL 10 DIAS) E JULHO DE 2024, CONF. CONTRATO Nº 042/2024.")</f>
        <v>SERVIÇO DE SUPORTE ESTENDIDO, REF. AOS DE MESES DE JUNHO (PROPORCIONAL 10 DIAS) E JULHO DE 2024, CONF. CONTRATO Nº 042/2024.</v>
      </c>
      <c r="F436" s="3" t="s">
        <v>82</v>
      </c>
      <c r="G436" s="6" t="str">
        <f>HYPERLINK("http://www8.mpce.mp.br/Empenhos/150501/NE/2024NE000705.pdf","2024NE000705")</f>
        <v>2024NE000705</v>
      </c>
      <c r="H436" s="7">
        <v>18529.2</v>
      </c>
      <c r="I436" s="8" t="s">
        <v>83</v>
      </c>
      <c r="J436" s="12" t="s">
        <v>84</v>
      </c>
    </row>
    <row r="437" spans="1:10" ht="25.5" x14ac:dyDescent="0.25">
      <c r="A437" s="2" t="s">
        <v>20</v>
      </c>
      <c r="B437" s="3" t="s">
        <v>702</v>
      </c>
      <c r="C437" s="4" t="str">
        <f>HYPERLINK("https://transparencia-area-fim.mpce.mp.br/#/consulta/processo/pastadigital/092023000255300","09.2023.00025530-0")</f>
        <v>09.2023.00025530-0</v>
      </c>
      <c r="D437" s="5">
        <v>45481</v>
      </c>
      <c r="E437" s="9" t="str">
        <f>HYPERLINK("https://www8.mpce.mp.br/Empenhos/150001/Objeto/42-2024.pdf","LICENÇA DE MÓDULO DE GRAVAÇÃO DE AUDIÊNCIAS, REF. AO ANO DE 2024, CONF. CONTRATO Nº 042/2024.")</f>
        <v>LICENÇA DE MÓDULO DE GRAVAÇÃO DE AUDIÊNCIAS, REF. AO ANO DE 2024, CONF. CONTRATO Nº 042/2024.</v>
      </c>
      <c r="F437" s="3" t="s">
        <v>120</v>
      </c>
      <c r="G437" s="6" t="str">
        <f>HYPERLINK("http://www8.mpce.mp.br/Empenhos/150501/NE/2024NE000706.pdf","2024NE000706")</f>
        <v>2024NE000706</v>
      </c>
      <c r="H437" s="7">
        <v>195000</v>
      </c>
      <c r="I437" s="8" t="s">
        <v>83</v>
      </c>
      <c r="J437" s="12" t="s">
        <v>84</v>
      </c>
    </row>
    <row r="438" spans="1:10" ht="51" x14ac:dyDescent="0.25">
      <c r="A438" s="2" t="s">
        <v>20</v>
      </c>
      <c r="B438" s="3" t="s">
        <v>700</v>
      </c>
      <c r="C438" s="4" t="str">
        <f>HYPERLINK("https://transparencia-area-fim.mpce.mp.br/#/consulta/processo/pastadigital/092023000255300","09.2023.00025530-0")</f>
        <v>09.2023.00025530-0</v>
      </c>
      <c r="D438" s="5">
        <v>45481</v>
      </c>
      <c r="E438" s="9" t="str">
        <f>HYPERLINK("https://www8.mpce.mp.br/Empenhos/150001/Objeto/42-2024.pdf","SISTEMA SAJ-MP  ACOMPANHAMENTO DA OPERAÇÃO E HOSPEDAGEM EM NUVEM, REF. AOS MESES DE JUNHO (PROPORCIONAL A 10 DIAS) E MÊS DE JULHO DE 2024, CONF. CONTRATO Nº 042/2024.")</f>
        <v>SISTEMA SAJ-MP  ACOMPANHAMENTO DA OPERAÇÃO E HOSPEDAGEM EM NUVEM, REF. AOS MESES DE JUNHO (PROPORCIONAL A 10 DIAS) E MÊS DE JULHO DE 2024, CONF. CONTRATO Nº 042/2024.</v>
      </c>
      <c r="F438" s="3" t="s">
        <v>701</v>
      </c>
      <c r="G438" s="6" t="str">
        <f>HYPERLINK("http://www8.mpce.mp.br/Empenhos/150501/NE/2024NE000707.pdf","2024NE000707")</f>
        <v>2024NE000707</v>
      </c>
      <c r="H438" s="7">
        <v>97142.66</v>
      </c>
      <c r="I438" s="8" t="s">
        <v>83</v>
      </c>
      <c r="J438" s="12" t="s">
        <v>84</v>
      </c>
    </row>
    <row r="439" spans="1:10" ht="38.25" x14ac:dyDescent="0.25">
      <c r="A439" s="2" t="s">
        <v>20</v>
      </c>
      <c r="B439" s="3" t="s">
        <v>700</v>
      </c>
      <c r="C439" s="4" t="str">
        <f>HYPERLINK("https://transparencia-area-fim.mpce.mp.br/#/consulta/processo/pastadigital/092023000255300","09.2023.00025530-0")</f>
        <v>09.2023.00025530-0</v>
      </c>
      <c r="D439" s="5">
        <v>45481</v>
      </c>
      <c r="E439" s="9" t="str">
        <f>HYPERLINK("https://www8.mpce.mp.br/Empenhos/150001/Objeto/42-2024.pdf","SISTEMA SAJ-MP - SUPORTE 1° NÍVEL, REF. AOS MESES DE JUNHO (PROPORCIONAL A 10 DIAS) E JULHO DE 2024, CONF. CONTRATO Nº 042/2024.")</f>
        <v>SISTEMA SAJ-MP - SUPORTE 1° NÍVEL, REF. AOS MESES DE JUNHO (PROPORCIONAL A 10 DIAS) E JULHO DE 2024, CONF. CONTRATO Nº 042/2024.</v>
      </c>
      <c r="F439" s="3" t="s">
        <v>82</v>
      </c>
      <c r="G439" s="6" t="str">
        <f>HYPERLINK("http://www8.mpce.mp.br/Empenhos/150501/NE/2024NE000708.pdf","2024NE000708")</f>
        <v>2024NE000708</v>
      </c>
      <c r="H439" s="7">
        <v>228249.60000000001</v>
      </c>
      <c r="I439" s="8" t="s">
        <v>83</v>
      </c>
      <c r="J439" s="12" t="s">
        <v>84</v>
      </c>
    </row>
    <row r="440" spans="1:10" ht="38.25" x14ac:dyDescent="0.25">
      <c r="A440" s="2" t="s">
        <v>20</v>
      </c>
      <c r="B440" s="3" t="s">
        <v>700</v>
      </c>
      <c r="C440" s="4" t="str">
        <f>HYPERLINK("https://transparencia-area-fim.mpce.mp.br/#/consulta/processo/pastadigital/092023000255300","09.2023.00025530-0")</f>
        <v>09.2023.00025530-0</v>
      </c>
      <c r="D440" s="5">
        <v>45481</v>
      </c>
      <c r="E440" s="9" t="str">
        <f>HYPERLINK("https://www8.mpce.mp.br/Empenhos/150001/Objeto/42-2024.pdf","SISTEMA SAJ-MP | GETF, REF. AOS MESES DE JUNHO (PROPORCIONAL A 10 DIAS) E JULHO DE 2024, CONF. CONTRATO Nº 042/2024.")</f>
        <v>SISTEMA SAJ-MP | GETF, REF. AOS MESES DE JUNHO (PROPORCIONAL A 10 DIAS) E JULHO DE 2024, CONF. CONTRATO Nº 042/2024.</v>
      </c>
      <c r="F440" s="3" t="s">
        <v>82</v>
      </c>
      <c r="G440" s="6" t="str">
        <f>HYPERLINK("http://www8.mpce.mp.br/Empenhos/150501/NE/2024NE000709.pdf","2024NE000709")</f>
        <v>2024NE000709</v>
      </c>
      <c r="H440" s="7">
        <v>204570.66</v>
      </c>
      <c r="I440" s="8" t="s">
        <v>83</v>
      </c>
      <c r="J440" s="12" t="s">
        <v>84</v>
      </c>
    </row>
    <row r="441" spans="1:10" ht="38.25" x14ac:dyDescent="0.25">
      <c r="A441" s="2" t="s">
        <v>20</v>
      </c>
      <c r="B441" s="3" t="s">
        <v>700</v>
      </c>
      <c r="C441" s="4" t="str">
        <f>HYPERLINK("https://transparencia-area-fim.mpce.mp.br/#/consulta/processo/pastadigital/092023000255300","09.2023.00025530-0")</f>
        <v>09.2023.00025530-0</v>
      </c>
      <c r="D441" s="5">
        <v>45481</v>
      </c>
      <c r="E441" s="9" t="str">
        <f>HYPERLINK("https://www8.mpce.mp.br/Empenhos/150001/Objeto/42-2024.pdf","SISTEMA SAJ-MP | SUSTENTAÇÃO, REF. AOS MESES DE JUNHO (PROPORCIONAL A 10 DIAS) E JULHO DE 2024, CONF. CONTRATO 042/2024.")</f>
        <v>SISTEMA SAJ-MP | SUSTENTAÇÃO, REF. AOS MESES DE JUNHO (PROPORCIONAL A 10 DIAS) E JULHO DE 2024, CONF. CONTRATO 042/2024.</v>
      </c>
      <c r="F441" s="3" t="s">
        <v>82</v>
      </c>
      <c r="G441" s="6" t="str">
        <f>HYPERLINK("http://www8.mpce.mp.br/Empenhos/150501/NE/2024NE000710.pdf","2024NE000710")</f>
        <v>2024NE000710</v>
      </c>
      <c r="H441" s="7">
        <v>110144</v>
      </c>
      <c r="I441" s="8" t="s">
        <v>83</v>
      </c>
      <c r="J441" s="12" t="s">
        <v>84</v>
      </c>
    </row>
    <row r="442" spans="1:10" ht="25.5" x14ac:dyDescent="0.25">
      <c r="A442" s="2" t="s">
        <v>20</v>
      </c>
      <c r="B442" s="3" t="s">
        <v>703</v>
      </c>
      <c r="C442" s="4" t="str">
        <f>HYPERLINK("https://transparencia-area-fim.mpce.mp.br/#/consulta/processo/pastadigital/092023000287946","09.2023.00028794-6")</f>
        <v>09.2023.00028794-6</v>
      </c>
      <c r="D442" s="5">
        <v>45481</v>
      </c>
      <c r="E442" s="9" t="str">
        <f>HYPERLINK("https://www8.mpce.mp.br/Empenhos/150001/Objeto/59-2023.pdf","LICENÇA DE SOFTWARE, REF. AO MÊS DE JULHO DE 2024, CONF. CONTRATO Nº 059/2023.")</f>
        <v>LICENÇA DE SOFTWARE, REF. AO MÊS DE JULHO DE 2024, CONF. CONTRATO Nº 059/2023.</v>
      </c>
      <c r="F442" s="3" t="s">
        <v>120</v>
      </c>
      <c r="G442" s="6" t="str">
        <f>HYPERLINK("http://www8.mpce.mp.br/Empenhos/150501/NE/2024NE000711.pdf","2024NE000711")</f>
        <v>2024NE000711</v>
      </c>
      <c r="H442" s="7">
        <v>2531.5</v>
      </c>
      <c r="I442" s="8" t="s">
        <v>121</v>
      </c>
      <c r="J442" s="12" t="s">
        <v>122</v>
      </c>
    </row>
    <row r="443" spans="1:10" ht="38.25" x14ac:dyDescent="0.25">
      <c r="A443" s="2" t="s">
        <v>20</v>
      </c>
      <c r="B443" s="3" t="s">
        <v>704</v>
      </c>
      <c r="C443" s="4" t="str">
        <f>HYPERLINK("https://transparencia-area-fim.mpce.mp.br/#/consulta/processo/pastadigital/092021000189150","09.2021.00018915-0")</f>
        <v>09.2021.00018915-0</v>
      </c>
      <c r="D443" s="5">
        <v>45481</v>
      </c>
      <c r="E443" s="9" t="str">
        <f>HYPERLINK("https://www8.mpce.mp.br/Empenhos/150001/Objeto/09-2022.pdf","SERVIÇOS DE EXTENSÃO DE GARANTIA PARA O DATA CENTER, REF. AO MÊS DE JULHO DE 2024, CONF. CONTRATO Nº 009/2022.")</f>
        <v>SERVIÇOS DE EXTENSÃO DE GARANTIA PARA O DATA CENTER, REF. AO MÊS DE JULHO DE 2024, CONF. CONTRATO Nº 009/2022.</v>
      </c>
      <c r="F443" s="3" t="s">
        <v>278</v>
      </c>
      <c r="G443" s="6" t="str">
        <f>HYPERLINK("http://www8.mpce.mp.br/Empenhos/150501/NE/2024NE000712.pdf","2024NE000712")</f>
        <v>2024NE000712</v>
      </c>
      <c r="H443" s="7">
        <v>19378.669999999998</v>
      </c>
      <c r="I443" s="8" t="s">
        <v>279</v>
      </c>
      <c r="J443" s="12" t="s">
        <v>280</v>
      </c>
    </row>
    <row r="444" spans="1:10" ht="38.25" x14ac:dyDescent="0.25">
      <c r="A444" s="2" t="s">
        <v>45</v>
      </c>
      <c r="B444" s="3" t="s">
        <v>705</v>
      </c>
      <c r="C444" s="4" t="str">
        <f>HYPERLINK("https://transparencia-area-fim.mpce.mp.br/#/consulta/processo/pastadigital/092020000096883","09.2020.00009688-3")</f>
        <v>09.2020.00009688-3</v>
      </c>
      <c r="D444" s="5">
        <v>45481</v>
      </c>
      <c r="E444" s="9" t="str">
        <f>HYPERLINK("https://www8.mpce.mp.br/Empenhos/150001/Objeto/28-2020.pdf","SERVIÇOS DE SUPORTE E FORNECIMENTO DOS SERVIÇOS COMPUTACIONAIS DA PLATAFORMA GOOGLE MAPS, REF. AO MÊS DE JULHO DE 2024, CONF. CONTRATO Nº 028/2020.")</f>
        <v>SERVIÇOS DE SUPORTE E FORNECIMENTO DOS SERVIÇOS COMPUTACIONAIS DA PLATAFORMA GOOGLE MAPS, REF. AO MÊS DE JULHO DE 2024, CONF. CONTRATO Nº 028/2020.</v>
      </c>
      <c r="F444" s="3" t="s">
        <v>82</v>
      </c>
      <c r="G444" s="6" t="str">
        <f>HYPERLINK("http://www8.mpce.mp.br/Empenhos/150501/NE/2024NE000713.pdf","2024NE000713")</f>
        <v>2024NE000713</v>
      </c>
      <c r="H444" s="7">
        <v>300</v>
      </c>
      <c r="I444" s="8" t="s">
        <v>272</v>
      </c>
      <c r="J444" s="12" t="s">
        <v>273</v>
      </c>
    </row>
    <row r="445" spans="1:10" ht="153" x14ac:dyDescent="0.25">
      <c r="A445" s="2" t="s">
        <v>20</v>
      </c>
      <c r="B445" s="3" t="s">
        <v>706</v>
      </c>
      <c r="C445" s="4" t="str">
        <f>HYPERLINK("https://transparencia-area-fim.mpce.mp.br/#/consulta/processo/pastadigital/092023000079630","09.2023.00007963-0")</f>
        <v>09.2023.00007963-0</v>
      </c>
      <c r="D445" s="5">
        <v>45482</v>
      </c>
      <c r="E445" s="9" t="s">
        <v>707</v>
      </c>
      <c r="F445" s="3" t="s">
        <v>120</v>
      </c>
      <c r="G445" s="6" t="str">
        <f>HYPERLINK("http://www8.mpce.mp.br/Empenhos/150501/NE/2024NE000714.pdf","2024NE000714")</f>
        <v>2024NE000714</v>
      </c>
      <c r="H445" s="7">
        <v>65600</v>
      </c>
      <c r="I445" s="8" t="s">
        <v>124</v>
      </c>
      <c r="J445" s="12" t="s">
        <v>125</v>
      </c>
    </row>
    <row r="446" spans="1:10" ht="25.5" x14ac:dyDescent="0.25">
      <c r="A446" s="2" t="s">
        <v>20</v>
      </c>
      <c r="B446" s="3" t="s">
        <v>700</v>
      </c>
      <c r="C446" s="4" t="str">
        <f>HYPERLINK("https://transparencia-area-fim.mpce.mp.br/#/consulta/processo/pastadigital/092023000255300","09.2023.00025530-0")</f>
        <v>09.2023.00025530-0</v>
      </c>
      <c r="D446" s="5">
        <v>45483</v>
      </c>
      <c r="E446" s="9" t="str">
        <f>HYPERLINK("https://www8.mpce.mp.br/Empenhos/150001/Objeto/42-2024.pdf","SERVIÇOS DE SOB DEMANDA SISTEMA SAJ-MP, REF. AO MÊS DE JULHO, CONF. CONTRATO Nº 042/2024.")</f>
        <v>SERVIÇOS DE SOB DEMANDA SISTEMA SAJ-MP, REF. AO MÊS DE JULHO, CONF. CONTRATO Nº 042/2024.</v>
      </c>
      <c r="F446" s="3" t="s">
        <v>82</v>
      </c>
      <c r="G446" s="6" t="str">
        <f>HYPERLINK("http://www8.mpce.mp.br/Empenhos/150501/NE/2024NE000717.pdf","2024NE000717")</f>
        <v>2024NE000717</v>
      </c>
      <c r="H446" s="7">
        <v>44000</v>
      </c>
      <c r="I446" s="8" t="s">
        <v>83</v>
      </c>
      <c r="J446" s="12" t="s">
        <v>84</v>
      </c>
    </row>
    <row r="447" spans="1:10" ht="63.75" x14ac:dyDescent="0.25">
      <c r="A447" s="2" t="s">
        <v>45</v>
      </c>
      <c r="B447" s="3" t="s">
        <v>708</v>
      </c>
      <c r="C447" s="4" t="str">
        <f>HYPERLINK("https://transparencia-area-fim.mpce.mp.br/#/consulta/processo/pastadigital/092022000343795","09.2022.00034379-5")</f>
        <v>09.2022.00034379-5</v>
      </c>
      <c r="D447" s="5">
        <v>45483</v>
      </c>
      <c r="E447" s="9" t="str">
        <f>HYPERLINK("https://www8.mpce.mp.br/Empenhos/150001/Objeto/25-2023.pdf","EMPENHO DO IPTU DE 2024, PARCELA ÚNICA DO IMÓVEL ONDE FUNCIONAM AS PROMOTORIAS DE JUSTIÇA DE CANINDÉ, LOCALIZADO A RUA LARGO FRANCISCO XAVIER DE MEDEIROS, Nº 1181  BAIRRO IMACULADA CONCEIÇÃO, CONF. CONTRATO Nº 025/2023.")</f>
        <v>EMPENHO DO IPTU DE 2024, PARCELA ÚNICA DO IMÓVEL ONDE FUNCIONAM AS PROMOTORIAS DE JUSTIÇA DE CANINDÉ, LOCALIZADO A RUA LARGO FRANCISCO XAVIER DE MEDEIROS, Nº 1181  BAIRRO IMACULADA CONCEIÇÃO, CONF. CONTRATO Nº 025/2023.</v>
      </c>
      <c r="F447" s="3" t="s">
        <v>264</v>
      </c>
      <c r="G447" s="6" t="str">
        <f>HYPERLINK("http://www8.mpce.mp.br/Empenhos/150501/NE/2024NE000718.pdf","2024NE000718")</f>
        <v>2024NE000718</v>
      </c>
      <c r="H447" s="7">
        <v>1087.81</v>
      </c>
      <c r="I447" s="8" t="s">
        <v>245</v>
      </c>
      <c r="J447" s="12" t="s">
        <v>246</v>
      </c>
    </row>
    <row r="448" spans="1:10" ht="51" x14ac:dyDescent="0.25">
      <c r="A448" s="2" t="s">
        <v>45</v>
      </c>
      <c r="B448" s="3" t="s">
        <v>98</v>
      </c>
      <c r="C448" s="4" t="str">
        <f>HYPERLINK("https://transparencia-area-fim.mpce.mp.br/#/consulta/processo/pastadigital/092020000071437","09.2020.00007143-7")</f>
        <v>09.2020.00007143-7</v>
      </c>
      <c r="D448" s="5">
        <v>45387</v>
      </c>
      <c r="E448" s="9" t="str">
        <f>HYPERLINK("https://www8.mpce.mp.br/Empenhos/150001/Objeto/23-2020.pdf","FORNECIMENTO DE PRODUTOS E DE DIVERSOS SERVIÇOS DOS CORREIOS POR MEIO DOS CANAIS DE ATENDIMENTO DISPONIBILIZADOS, CONF. CONTRATO 023/2020, REF. ABR, MAI E JUN/2024, POR ESTIMATIVA.")</f>
        <v>FORNECIMENTO DE PRODUTOS E DE DIVERSOS SERVIÇOS DOS CORREIOS POR MEIO DOS CANAIS DE ATENDIMENTO DISPONIBILIZADOS, CONF. CONTRATO 023/2020, REF. ABR, MAI E JUN/2024, POR ESTIMATIVA.</v>
      </c>
      <c r="F448" s="3" t="s">
        <v>99</v>
      </c>
      <c r="G448" s="6" t="str">
        <f>HYPERLINK("http://www8.mpce.mp.br/Empenhos/150001/NE/2024NE000795.pdf","2024NE000795")</f>
        <v>2024NE000795</v>
      </c>
      <c r="H448" s="7">
        <v>60000</v>
      </c>
      <c r="I448" s="8" t="s">
        <v>100</v>
      </c>
      <c r="J448" s="12" t="s">
        <v>101</v>
      </c>
    </row>
    <row r="449" spans="1:10" ht="63.75" x14ac:dyDescent="0.25">
      <c r="A449" s="2" t="s">
        <v>45</v>
      </c>
      <c r="B449" s="3" t="s">
        <v>486</v>
      </c>
      <c r="C449" s="4" t="str">
        <f>HYPERLINK("https://transparencia-area-fim.mpce.mp.br/#/consulta/processo/pastadigital/092024000111207","09.2024.00011120-7")</f>
        <v>09.2024.00011120-7</v>
      </c>
      <c r="D449" s="5">
        <v>45393</v>
      </c>
      <c r="E449" s="9" t="s">
        <v>487</v>
      </c>
      <c r="F449" s="3" t="s">
        <v>488</v>
      </c>
      <c r="G449" s="6" t="str">
        <f>HYPERLINK("http://www8.mpce.mp.br/Empenhos/150001/NE/2024NE000856.pdf","2024NE000856")</f>
        <v>2024NE000856</v>
      </c>
      <c r="H449" s="7">
        <v>2250</v>
      </c>
      <c r="I449" s="8" t="s">
        <v>489</v>
      </c>
      <c r="J449" s="12" t="s">
        <v>490</v>
      </c>
    </row>
    <row r="450" spans="1:10" ht="63.75" x14ac:dyDescent="0.25">
      <c r="A450" s="2" t="s">
        <v>20</v>
      </c>
      <c r="B450" s="3" t="s">
        <v>501</v>
      </c>
      <c r="C450" s="4" t="str">
        <f>HYPERLINK("https://transparencia-area-fim.mpce.mp.br/#/consulta/processo/pastadigital/092024000103284","09.2024.00010328-4")</f>
        <v>09.2024.00010328-4</v>
      </c>
      <c r="D450" s="5">
        <v>45406</v>
      </c>
      <c r="E450" s="9" t="s">
        <v>502</v>
      </c>
      <c r="F450" s="3" t="s">
        <v>399</v>
      </c>
      <c r="G450" s="6" t="str">
        <f>HYPERLINK("http://www8.mpce.mp.br/Empenhos/150001/NE/2024NE000942.pdf","2024NE000942")</f>
        <v>2024NE000942</v>
      </c>
      <c r="H450" s="7">
        <v>33000</v>
      </c>
      <c r="I450" s="8" t="s">
        <v>400</v>
      </c>
      <c r="J450" s="12" t="s">
        <v>401</v>
      </c>
    </row>
    <row r="451" spans="1:10" ht="67.5" x14ac:dyDescent="0.25">
      <c r="A451" s="2" t="s">
        <v>45</v>
      </c>
      <c r="B451" s="3" t="s">
        <v>503</v>
      </c>
      <c r="C451" s="4" t="str">
        <f>HYPERLINK("https://transparencia-area-fim.mpce.mp.br/#/consulta/processo/pastadigital/092023000241238","09.2023.00024123-8")</f>
        <v>09.2023.00024123-8</v>
      </c>
      <c r="D451" s="5">
        <v>45406</v>
      </c>
      <c r="E451" s="9" t="str">
        <f>HYPERLINK("https://www8.mpce.mp.br/Empenhos/150001/Objeto/29-2024.pdf","EMPENHO GLOBAL REF. SERVIÇOS DE TECNOLOGIA ASSISTIVA VOLTADOS A PESSOAS COM DEFICIÊNCIA VISUAL, PARA ATENDER AS DEMANDAS DO MPCE, CONF. CONTRATO 029/2024, REF. ABR A AGO/2024.")</f>
        <v>EMPENHO GLOBAL REF. SERVIÇOS DE TECNOLOGIA ASSISTIVA VOLTADOS A PESSOAS COM DEFICIÊNCIA VISUAL, PARA ATENDER AS DEMANDAS DO MPCE, CONF. CONTRATO 029/2024, REF. ABR A AGO/2024.</v>
      </c>
      <c r="F451" s="3" t="s">
        <v>92</v>
      </c>
      <c r="G451" s="6" t="str">
        <f>HYPERLINK("http://www8.mpce.mp.br/Empenhos/150001/NE/2024NE000947.pdf","2024NE000947")</f>
        <v>2024NE000947</v>
      </c>
      <c r="H451" s="7">
        <v>8270</v>
      </c>
      <c r="I451" s="8" t="s">
        <v>504</v>
      </c>
      <c r="J451" s="12" t="s">
        <v>505</v>
      </c>
    </row>
    <row r="452" spans="1:10" ht="76.5" x14ac:dyDescent="0.25">
      <c r="A452" s="2" t="s">
        <v>20</v>
      </c>
      <c r="B452" s="3" t="s">
        <v>506</v>
      </c>
      <c r="C452" s="4" t="str">
        <f>HYPERLINK("https://transparencia-area-fim.mpce.mp.br/#/consulta/processo/pastadigital/092024000136197","09.2024.00013619-7")</f>
        <v>09.2024.00013619-7</v>
      </c>
      <c r="D452" s="5">
        <v>45408</v>
      </c>
      <c r="E452" s="9" t="s">
        <v>507</v>
      </c>
      <c r="F452" s="3" t="s">
        <v>399</v>
      </c>
      <c r="G452" s="6" t="str">
        <f>HYPERLINK("http://www8.mpce.mp.br/Empenhos/150001/NE/2024NE000976.pdf","2024NE000976")</f>
        <v>2024NE000976</v>
      </c>
      <c r="H452" s="7">
        <v>3190</v>
      </c>
      <c r="I452" s="8" t="s">
        <v>508</v>
      </c>
      <c r="J452" s="12" t="s">
        <v>509</v>
      </c>
    </row>
    <row r="453" spans="1:10" ht="89.25" x14ac:dyDescent="0.25">
      <c r="A453" s="2" t="s">
        <v>45</v>
      </c>
      <c r="B453" s="3" t="s">
        <v>615</v>
      </c>
      <c r="C453" s="4" t="str">
        <f>HYPERLINK("https://transparencia-area-fim.mpce.mp.br/#/consulta/processo/pastadigital/092024000127176","09.2024.00012717-6")</f>
        <v>09.2024.00012717-6</v>
      </c>
      <c r="D453" s="5">
        <v>45426</v>
      </c>
      <c r="E453" s="9" t="s">
        <v>616</v>
      </c>
      <c r="F453" s="3" t="s">
        <v>92</v>
      </c>
      <c r="G453" s="6" t="str">
        <f>HYPERLINK("http://www8.mpce.mp.br/Empenhos/150001/NE/2024NE001153.pdf","2024NE001153")</f>
        <v>2024NE001153</v>
      </c>
      <c r="H453" s="7">
        <v>2935</v>
      </c>
      <c r="I453" s="8" t="s">
        <v>617</v>
      </c>
      <c r="J453" s="12" t="s">
        <v>618</v>
      </c>
    </row>
    <row r="454" spans="1:10" ht="76.5" x14ac:dyDescent="0.25">
      <c r="A454" s="2" t="s">
        <v>45</v>
      </c>
      <c r="B454" s="3" t="s">
        <v>619</v>
      </c>
      <c r="C454" s="4" t="str">
        <f>HYPERLINK("https://transparencia-area-fim.mpce.mp.br/#/consulta/processo/pastadigital/092024000127176","09.2024.00012717-6")</f>
        <v>09.2024.00012717-6</v>
      </c>
      <c r="D454" s="5">
        <v>45426</v>
      </c>
      <c r="E454" s="9" t="s">
        <v>620</v>
      </c>
      <c r="F454" s="3" t="s">
        <v>92</v>
      </c>
      <c r="G454" s="6" t="str">
        <f>HYPERLINK("http://www8.mpce.mp.br/Empenhos/150001/NE/2024NE001154.pdf","2024NE001154")</f>
        <v>2024NE001154</v>
      </c>
      <c r="H454" s="7">
        <v>7890</v>
      </c>
      <c r="I454" s="8" t="s">
        <v>621</v>
      </c>
      <c r="J454" s="12" t="s">
        <v>622</v>
      </c>
    </row>
    <row r="455" spans="1:10" ht="76.5" x14ac:dyDescent="0.25">
      <c r="A455" s="2" t="s">
        <v>45</v>
      </c>
      <c r="B455" s="3" t="s">
        <v>623</v>
      </c>
      <c r="C455" s="4" t="str">
        <f>HYPERLINK("https://transparencia-area-fim.mpce.mp.br/#/consulta/processo/pastadigital/092024000039686","09.2024.00003968-6")</f>
        <v>09.2024.00003968-6</v>
      </c>
      <c r="D455" s="5">
        <v>45427</v>
      </c>
      <c r="E455" s="9" t="s">
        <v>624</v>
      </c>
      <c r="F455" s="3" t="s">
        <v>625</v>
      </c>
      <c r="G455" s="6" t="str">
        <f>HYPERLINK("http://www8.mpce.mp.br/Empenhos/150001/NE/2024NE001155.pdf","2024NE001155")</f>
        <v>2024NE001155</v>
      </c>
      <c r="H455" s="7">
        <v>847</v>
      </c>
      <c r="I455" s="8" t="s">
        <v>626</v>
      </c>
      <c r="J455" s="12" t="s">
        <v>627</v>
      </c>
    </row>
    <row r="456" spans="1:10" ht="63.75" x14ac:dyDescent="0.25">
      <c r="A456" s="2" t="s">
        <v>45</v>
      </c>
      <c r="B456" s="3" t="s">
        <v>623</v>
      </c>
      <c r="C456" s="4" t="str">
        <f>HYPERLINK("https://transparencia-area-fim.mpce.mp.br/#/consulta/processo/pastadigital/092024000039686","09.2024.00003968-6")</f>
        <v>09.2024.00003968-6</v>
      </c>
      <c r="D456" s="5">
        <v>45427</v>
      </c>
      <c r="E456" s="9" t="s">
        <v>628</v>
      </c>
      <c r="F456" s="3" t="s">
        <v>625</v>
      </c>
      <c r="G456" s="6" t="str">
        <f>HYPERLINK("http://www8.mpce.mp.br/Empenhos/150001/NE/2024NE001156.pdf","2024NE001156")</f>
        <v>2024NE001156</v>
      </c>
      <c r="H456" s="7">
        <v>38108.46</v>
      </c>
      <c r="I456" s="8" t="s">
        <v>629</v>
      </c>
      <c r="J456" s="12" t="s">
        <v>630</v>
      </c>
    </row>
    <row r="457" spans="1:10" ht="38.25" x14ac:dyDescent="0.25">
      <c r="A457" s="2" t="s">
        <v>20</v>
      </c>
      <c r="B457" s="3" t="s">
        <v>475</v>
      </c>
      <c r="C457" s="4" t="str">
        <f>HYPERLINK("https://transparencia-area-fim.mpce.mp.br/#/consulta/processo/pastadigital/092024000112517","09.2024.00011251-7")</f>
        <v>09.2024.00011251-7</v>
      </c>
      <c r="D457" s="5">
        <v>45428</v>
      </c>
      <c r="E457" s="9" t="s">
        <v>631</v>
      </c>
      <c r="F457" s="3" t="s">
        <v>70</v>
      </c>
      <c r="G457" s="6" t="str">
        <f>HYPERLINK("http://www8.mpce.mp.br/Empenhos/150001/NE/2024NE001159.pdf","2024NE001159")</f>
        <v>2024NE001159</v>
      </c>
      <c r="H457" s="7">
        <v>90000</v>
      </c>
      <c r="I457" s="8" t="s">
        <v>115</v>
      </c>
      <c r="J457" s="12" t="s">
        <v>116</v>
      </c>
    </row>
    <row r="458" spans="1:10" ht="63.75" x14ac:dyDescent="0.25">
      <c r="A458" s="2" t="s">
        <v>45</v>
      </c>
      <c r="B458" s="3" t="s">
        <v>632</v>
      </c>
      <c r="C458" s="4" t="str">
        <f>HYPERLINK("https://transparencia-area-fim.mpce.mp.br/#/consulta/processo/pastadigital/092024000139383","09.2024.00013938-3")</f>
        <v>09.2024.00013938-3</v>
      </c>
      <c r="D458" s="5">
        <v>45429</v>
      </c>
      <c r="E458" s="9" t="s">
        <v>633</v>
      </c>
      <c r="F458" s="3" t="s">
        <v>459</v>
      </c>
      <c r="G458" s="6" t="str">
        <f>HYPERLINK("http://www8.mpce.mp.br/Empenhos/150001/NE/2024NE001186.pdf","2024NE001186")</f>
        <v>2024NE001186</v>
      </c>
      <c r="H458" s="7">
        <v>1450</v>
      </c>
      <c r="I458" s="8" t="s">
        <v>634</v>
      </c>
      <c r="J458" s="12" t="s">
        <v>635</v>
      </c>
    </row>
    <row r="459" spans="1:10" ht="63.75" x14ac:dyDescent="0.25">
      <c r="A459" s="2" t="s">
        <v>45</v>
      </c>
      <c r="B459" s="3" t="s">
        <v>636</v>
      </c>
      <c r="C459" s="4" t="str">
        <f>HYPERLINK("https://transparencia-area-fim.mpce.mp.br/#/consulta/processo/pastadigital/092024000168534","09.2024.00016853-4")</f>
        <v>09.2024.00016853-4</v>
      </c>
      <c r="D459" s="5">
        <v>45429</v>
      </c>
      <c r="E459" s="9" t="str">
        <f>HYPERLINK("https://www8.mpce.mp.br/Empenhos/150001/Objeto/49-2023.pdf","EMPENHO REF. SERVIÇO DE FORNECIMENTO DE ENERGIA ELÉTRICA, EM ALTA TENSÃO, AO PRÉDIO ONDE FUNCIONA SEDE DE PROMOTORIAS DE JUSTIÇA DE JUAZEIRO DO NORTE, CONF. CONTRATO 449/2023/ENEL E DISPENSA 005/2023, REF. ABR, MAI E JUN/2024, POR ESTIMATIVA.")</f>
        <v>EMPENHO REF. SERVIÇO DE FORNECIMENTO DE ENERGIA ELÉTRICA, EM ALTA TENSÃO, AO PRÉDIO ONDE FUNCIONA SEDE DE PROMOTORIAS DE JUSTIÇA DE JUAZEIRO DO NORTE, CONF. CONTRATO 449/2023/ENEL E DISPENSA 005/2023, REF. ABR, MAI E JUN/2024, POR ESTIMATIVA.</v>
      </c>
      <c r="F459" s="3" t="s">
        <v>314</v>
      </c>
      <c r="G459" s="6" t="str">
        <f>HYPERLINK("http://www8.mpce.mp.br/Empenhos/150001/NE/2024NE001190.pdf","2024NE001190")</f>
        <v>2024NE001190</v>
      </c>
      <c r="H459" s="7">
        <v>45000</v>
      </c>
      <c r="I459" s="8" t="s">
        <v>315</v>
      </c>
      <c r="J459" s="12" t="s">
        <v>316</v>
      </c>
    </row>
    <row r="460" spans="1:10" ht="114.75" x14ac:dyDescent="0.25">
      <c r="A460" s="2" t="s">
        <v>20</v>
      </c>
      <c r="B460" s="3" t="s">
        <v>637</v>
      </c>
      <c r="C460" s="4" t="str">
        <f>HYPERLINK("https://transparencia-area-fim.mpce.mp.br/#/consulta/processo/pastadigital/092024000159657","09.2024.00015965-7")</f>
        <v>09.2024.00015965-7</v>
      </c>
      <c r="D460" s="5">
        <v>45453</v>
      </c>
      <c r="E460" s="9" t="s">
        <v>638</v>
      </c>
      <c r="F460" s="3" t="s">
        <v>399</v>
      </c>
      <c r="G460" s="6" t="str">
        <f>HYPERLINK("http://www8.mpce.mp.br/Empenhos/150001/NE/2024NE001394.pdf","2024NE001394")</f>
        <v>2024NE001394</v>
      </c>
      <c r="H460" s="7">
        <v>17492.55</v>
      </c>
      <c r="I460" s="8" t="s">
        <v>639</v>
      </c>
      <c r="J460" s="12" t="s">
        <v>640</v>
      </c>
    </row>
    <row r="461" spans="1:10" ht="102" x14ac:dyDescent="0.25">
      <c r="A461" s="2" t="s">
        <v>20</v>
      </c>
      <c r="B461" s="3" t="s">
        <v>641</v>
      </c>
      <c r="C461" s="4" t="str">
        <f>HYPERLINK("https://transparencia-area-fim.mpce.mp.br/#/consulta/processo/pastadigital/092024000130504","09.2024.00013050-4")</f>
        <v>09.2024.00013050-4</v>
      </c>
      <c r="D461" s="5">
        <v>45453</v>
      </c>
      <c r="E461" s="9" t="s">
        <v>642</v>
      </c>
      <c r="F461" s="3" t="s">
        <v>399</v>
      </c>
      <c r="G461" s="6" t="str">
        <f>HYPERLINK("http://www8.mpce.mp.br/Empenhos/150001/NE/2024NE001397.pdf","2024NE001397")</f>
        <v>2024NE001397</v>
      </c>
      <c r="H461" s="7">
        <v>7507.5</v>
      </c>
      <c r="I461" s="8" t="s">
        <v>643</v>
      </c>
      <c r="J461" s="12" t="s">
        <v>644</v>
      </c>
    </row>
    <row r="462" spans="1:10" ht="127.5" x14ac:dyDescent="0.25">
      <c r="A462" s="2" t="s">
        <v>20</v>
      </c>
      <c r="B462" s="3" t="s">
        <v>645</v>
      </c>
      <c r="C462" s="4" t="str">
        <f>HYPERLINK("https://transparencia-area-fim.mpce.mp.br/#/consulta/processo/pastadigital/092024000155217","09.2024.00015521-7")</f>
        <v>09.2024.00015521-7</v>
      </c>
      <c r="D462" s="5">
        <v>45454</v>
      </c>
      <c r="E462" s="9" t="s">
        <v>646</v>
      </c>
      <c r="F462" s="3" t="s">
        <v>399</v>
      </c>
      <c r="G462" s="6" t="str">
        <f>HYPERLINK("http://www8.mpce.mp.br/Empenhos/150001/NE/2024NE001402.pdf","2024NE001402")</f>
        <v>2024NE001402</v>
      </c>
      <c r="H462" s="7">
        <v>1000</v>
      </c>
      <c r="I462" s="8" t="s">
        <v>647</v>
      </c>
      <c r="J462" s="12" t="s">
        <v>648</v>
      </c>
    </row>
    <row r="463" spans="1:10" ht="127.5" x14ac:dyDescent="0.25">
      <c r="A463" s="2" t="s">
        <v>20</v>
      </c>
      <c r="B463" s="3" t="s">
        <v>645</v>
      </c>
      <c r="C463" s="4" t="str">
        <f>HYPERLINK("https://transparencia-area-fim.mpce.mp.br/#/consulta/processo/pastadigital/092024000147894","09.2024.00014789-4")</f>
        <v>09.2024.00014789-4</v>
      </c>
      <c r="D463" s="5">
        <v>45454</v>
      </c>
      <c r="E463" s="9" t="s">
        <v>649</v>
      </c>
      <c r="F463" s="3" t="s">
        <v>650</v>
      </c>
      <c r="G463" s="6" t="str">
        <f>HYPERLINK("http://www8.mpce.mp.br/Empenhos/150001/NE/2024NE001405.pdf","2024NE001405")</f>
        <v>2024NE001405</v>
      </c>
      <c r="H463" s="7">
        <v>16390</v>
      </c>
      <c r="I463" s="8" t="s">
        <v>651</v>
      </c>
      <c r="J463" s="12" t="s">
        <v>652</v>
      </c>
    </row>
    <row r="464" spans="1:10" ht="63.75" x14ac:dyDescent="0.25">
      <c r="A464" s="2" t="s">
        <v>20</v>
      </c>
      <c r="B464" s="3" t="s">
        <v>653</v>
      </c>
      <c r="C464" s="4" t="str">
        <f>HYPERLINK("https://transparencia-area-fim.mpce.mp.br/#/consulta/processo/pastadigital/092024000192512","09.2024.00019251-2")</f>
        <v>09.2024.00019251-2</v>
      </c>
      <c r="D464" s="5">
        <v>45454</v>
      </c>
      <c r="E464" s="9" t="s">
        <v>654</v>
      </c>
      <c r="F464" s="3" t="s">
        <v>399</v>
      </c>
      <c r="G464" s="6" t="str">
        <f>HYPERLINK("http://www8.mpce.mp.br/Empenhos/150001/NE/2024NE001414.pdf","2024NE001414")</f>
        <v>2024NE001414</v>
      </c>
      <c r="H464" s="7">
        <v>26162.15</v>
      </c>
      <c r="I464" s="8" t="s">
        <v>655</v>
      </c>
      <c r="J464" s="12" t="s">
        <v>656</v>
      </c>
    </row>
    <row r="465" spans="1:10" ht="51" x14ac:dyDescent="0.25">
      <c r="A465" s="2" t="s">
        <v>20</v>
      </c>
      <c r="B465" s="3" t="s">
        <v>657</v>
      </c>
      <c r="C465" s="4" t="str">
        <f>HYPERLINK("https://transparencia-area-fim.mpce.mp.br/#/consulta/processo/pastadigital/092024000196252","09.2024.00019625-2")</f>
        <v>09.2024.00019625-2</v>
      </c>
      <c r="D465" s="5">
        <v>45455</v>
      </c>
      <c r="E465" s="9" t="s">
        <v>658</v>
      </c>
      <c r="F465" s="3" t="s">
        <v>314</v>
      </c>
      <c r="G465" s="6" t="str">
        <f>HYPERLINK("http://www8.mpce.mp.br/Empenhos/150001/NE/2024NE001426.pdf","2024NE001426")</f>
        <v>2024NE001426</v>
      </c>
      <c r="H465" s="7">
        <v>600000</v>
      </c>
      <c r="I465" s="8" t="s">
        <v>315</v>
      </c>
      <c r="J465" s="12" t="s">
        <v>316</v>
      </c>
    </row>
    <row r="466" spans="1:10" ht="51" x14ac:dyDescent="0.25">
      <c r="A466" s="2" t="s">
        <v>20</v>
      </c>
      <c r="B466" s="3" t="s">
        <v>657</v>
      </c>
      <c r="C466" s="4" t="str">
        <f>HYPERLINK("https://transparencia-area-fim.mpce.mp.br/#/consulta/processo/pastadigital/092024000193877","09.2024.00019387-7")</f>
        <v>09.2024.00019387-7</v>
      </c>
      <c r="D466" s="5">
        <v>45455</v>
      </c>
      <c r="E466" s="9" t="s">
        <v>659</v>
      </c>
      <c r="F466" s="3" t="s">
        <v>314</v>
      </c>
      <c r="G466" s="6" t="str">
        <f>HYPERLINK("http://www8.mpce.mp.br/Empenhos/150001/NE/2024NE001427.pdf","2024NE001427")</f>
        <v>2024NE001427</v>
      </c>
      <c r="H466" s="7">
        <v>360000</v>
      </c>
      <c r="I466" s="8" t="s">
        <v>315</v>
      </c>
      <c r="J466" s="12" t="s">
        <v>316</v>
      </c>
    </row>
    <row r="467" spans="1:10" ht="51" x14ac:dyDescent="0.25">
      <c r="A467" s="2" t="s">
        <v>45</v>
      </c>
      <c r="B467" s="3" t="s">
        <v>709</v>
      </c>
      <c r="C467" s="4" t="str">
        <f>HYPERLINK("https://transparencia-area-fim.mpce.mp.br/#/consulta/processo/pastadigital/092020000071437","09.2020.00007143-7")</f>
        <v>09.2020.00007143-7</v>
      </c>
      <c r="D467" s="5">
        <v>45475</v>
      </c>
      <c r="E467" s="9" t="str">
        <f>HYPERLINK("https://www8.mpce.mp.br/Empenhos/150001/Objeto/23-2020.pdf","FORNECIMENTO DE PRODUTOS E DE DIVERSOS SERVIÇOS DOS CORREIOS POR MEIO DOS CANAIS DE ATENDIMENTO DISPONIBILIZADOS, REF. AO MÊS DE JULHO, CONF. CONTRATO Nº 023/2020.")</f>
        <v>FORNECIMENTO DE PRODUTOS E DE DIVERSOS SERVIÇOS DOS CORREIOS POR MEIO DOS CANAIS DE ATENDIMENTO DISPONIBILIZADOS, REF. AO MÊS DE JULHO, CONF. CONTRATO Nº 023/2020.</v>
      </c>
      <c r="F467" s="3" t="s">
        <v>99</v>
      </c>
      <c r="G467" s="6" t="str">
        <f>HYPERLINK("http://www8.mpce.mp.br/Empenhos/150001/NE/2024NE001488.pdf","2024NE001488")</f>
        <v>2024NE001488</v>
      </c>
      <c r="H467" s="7">
        <v>20000</v>
      </c>
      <c r="I467" s="8" t="s">
        <v>100</v>
      </c>
      <c r="J467" s="12" t="s">
        <v>101</v>
      </c>
    </row>
    <row r="468" spans="1:10" ht="76.5" x14ac:dyDescent="0.25">
      <c r="A468" s="2" t="s">
        <v>20</v>
      </c>
      <c r="B468" s="3" t="s">
        <v>710</v>
      </c>
      <c r="C468" s="4" t="str">
        <f>HYPERLINK("https://transparencia-area-fim.mpce.mp.br/#/consulta/processo/pastadigital/092024000166525","09.2024.00016652-5")</f>
        <v>09.2024.00016652-5</v>
      </c>
      <c r="D468" s="5">
        <v>45462</v>
      </c>
      <c r="E468" s="9" t="s">
        <v>711</v>
      </c>
      <c r="F468" s="3" t="s">
        <v>712</v>
      </c>
      <c r="G468" s="6" t="str">
        <f>HYPERLINK("http://www8.mpce.mp.br/Empenhos/150001/NE/2024NE001507.pdf","2024NE001507")</f>
        <v>2024NE001507</v>
      </c>
      <c r="H468" s="7">
        <v>2700</v>
      </c>
      <c r="I468" s="8" t="s">
        <v>713</v>
      </c>
      <c r="J468" s="12" t="s">
        <v>714</v>
      </c>
    </row>
    <row r="469" spans="1:10" ht="67.5" x14ac:dyDescent="0.25">
      <c r="A469" s="2" t="s">
        <v>20</v>
      </c>
      <c r="B469" s="3" t="s">
        <v>715</v>
      </c>
      <c r="C469" s="4" t="str">
        <f>HYPERLINK("https://transparencia-area-fim.mpce.mp.br/#/consulta/processo/pastadigital/092024000209942","09.2024.00020994-2")</f>
        <v>09.2024.00020994-2</v>
      </c>
      <c r="D469" s="5">
        <v>45468</v>
      </c>
      <c r="E469" s="9" t="s">
        <v>716</v>
      </c>
      <c r="F469" s="3" t="s">
        <v>488</v>
      </c>
      <c r="G469" s="6" t="str">
        <f>HYPERLINK("http://www8.mpce.mp.br/Empenhos/150001/NE/2024NE001558.pdf","2024NE001558")</f>
        <v>2024NE001558</v>
      </c>
      <c r="H469" s="7">
        <v>1400</v>
      </c>
      <c r="I469" s="8" t="s">
        <v>717</v>
      </c>
      <c r="J469" s="12" t="s">
        <v>718</v>
      </c>
    </row>
    <row r="470" spans="1:10" ht="45" x14ac:dyDescent="0.25">
      <c r="A470" s="2" t="s">
        <v>45</v>
      </c>
      <c r="B470" s="3" t="s">
        <v>719</v>
      </c>
      <c r="C470" s="4" t="str">
        <f>HYPERLINK("https://transparencia-area-fim.mpce.mp.br/#/consulta/processo/pastadigital/092024000042147","09.2024.00004214-7")</f>
        <v>09.2024.00004214-7</v>
      </c>
      <c r="D470" s="5">
        <v>45474</v>
      </c>
      <c r="E470" s="9" t="s">
        <v>720</v>
      </c>
      <c r="F470" s="3" t="s">
        <v>721</v>
      </c>
      <c r="G470" s="6" t="str">
        <f>HYPERLINK("http://www8.mpce.mp.br/Empenhos/150001/NE/2024NE001565.pdf","2024NE001565")</f>
        <v>2024NE001565</v>
      </c>
      <c r="H470" s="7">
        <v>9024</v>
      </c>
      <c r="I470" s="8" t="s">
        <v>722</v>
      </c>
      <c r="J470" s="12" t="s">
        <v>723</v>
      </c>
    </row>
    <row r="471" spans="1:10" ht="51" x14ac:dyDescent="0.25">
      <c r="A471" s="2" t="s">
        <v>45</v>
      </c>
      <c r="B471" s="3" t="s">
        <v>724</v>
      </c>
      <c r="C471" s="4" t="str">
        <f>HYPERLINK("https://transparencia-area-fim.mpce.mp.br/#/consulta/processo/pastadigital/092024000214090","09.2024.00021409-0")</f>
        <v>09.2024.00021409-0</v>
      </c>
      <c r="D471" s="5">
        <v>45470</v>
      </c>
      <c r="E471" s="9" t="s">
        <v>725</v>
      </c>
      <c r="F471" s="3" t="s">
        <v>726</v>
      </c>
      <c r="G471" s="6" t="str">
        <f>HYPERLINK("http://www8.mpce.mp.br/Empenhos/150001/NE/2024NE001603.pdf","2024NE001603")</f>
        <v>2024NE001603</v>
      </c>
      <c r="H471" s="7">
        <v>2280</v>
      </c>
      <c r="I471" s="8" t="s">
        <v>727</v>
      </c>
      <c r="J471" s="12" t="s">
        <v>728</v>
      </c>
    </row>
    <row r="472" spans="1:10" ht="25.5" x14ac:dyDescent="0.25">
      <c r="A472" s="2" t="s">
        <v>20</v>
      </c>
      <c r="B472" s="3" t="s">
        <v>91</v>
      </c>
      <c r="C472" s="4" t="str">
        <f>HYPERLINK("https://transparencia-area-fim.mpce.mp.br/#/consulta/processo/pastadigital/092024000215600","09.2024.00021560-0")</f>
        <v>09.2024.00021560-0</v>
      </c>
      <c r="D472" s="5">
        <v>45470</v>
      </c>
      <c r="E472" s="9" t="s">
        <v>729</v>
      </c>
      <c r="F472" s="3" t="s">
        <v>70</v>
      </c>
      <c r="G472" s="6" t="str">
        <f>HYPERLINK("http://www8.mpce.mp.br/Empenhos/150001/NE/2024NE001605.pdf","2024NE001605")</f>
        <v>2024NE001605</v>
      </c>
      <c r="H472" s="7">
        <v>250</v>
      </c>
      <c r="I472" s="8" t="s">
        <v>106</v>
      </c>
      <c r="J472" s="12" t="s">
        <v>107</v>
      </c>
    </row>
    <row r="473" spans="1:10" ht="38.25" x14ac:dyDescent="0.25">
      <c r="A473" s="2" t="s">
        <v>20</v>
      </c>
      <c r="B473" s="3" t="s">
        <v>91</v>
      </c>
      <c r="C473" s="4" t="str">
        <f>HYPERLINK("https://transparencia-area-fim.mpce.mp.br/#/consulta/processo/pastadigital/092024000215577","09.2024.00021557-7")</f>
        <v>09.2024.00021557-7</v>
      </c>
      <c r="D473" s="5">
        <v>45474</v>
      </c>
      <c r="E473" s="9" t="s">
        <v>730</v>
      </c>
      <c r="F473" s="3" t="s">
        <v>70</v>
      </c>
      <c r="G473" s="6" t="str">
        <f>HYPERLINK("http://www8.mpce.mp.br/Empenhos/150001/NE/2024NE001610.pdf","2024NE001610")</f>
        <v>2024NE001610</v>
      </c>
      <c r="H473" s="7">
        <v>117.84</v>
      </c>
      <c r="I473" s="8" t="s">
        <v>103</v>
      </c>
      <c r="J473" s="12" t="s">
        <v>104</v>
      </c>
    </row>
    <row r="474" spans="1:10" ht="38.25" x14ac:dyDescent="0.25">
      <c r="A474" s="2" t="s">
        <v>20</v>
      </c>
      <c r="B474" s="3" t="s">
        <v>91</v>
      </c>
      <c r="C474" s="4" t="str">
        <f>HYPERLINK("https://transparencia-area-fim.mpce.mp.br/#/consulta/processo/pastadigital/092024000215999","09.2024.00021599-9")</f>
        <v>09.2024.00021599-9</v>
      </c>
      <c r="D474" s="5">
        <v>45474</v>
      </c>
      <c r="E474" s="9" t="s">
        <v>731</v>
      </c>
      <c r="F474" s="3" t="s">
        <v>70</v>
      </c>
      <c r="G474" s="6" t="str">
        <f>HYPERLINK("http://www8.mpce.mp.br/Empenhos/150001/NE/2024NE001616.pdf","2024NE001616")</f>
        <v>2024NE001616</v>
      </c>
      <c r="H474" s="7">
        <v>150</v>
      </c>
      <c r="I474" s="8" t="s">
        <v>74</v>
      </c>
      <c r="J474" s="12" t="s">
        <v>75</v>
      </c>
    </row>
    <row r="475" spans="1:10" ht="38.25" x14ac:dyDescent="0.25">
      <c r="A475" s="2" t="s">
        <v>20</v>
      </c>
      <c r="B475" s="3" t="s">
        <v>91</v>
      </c>
      <c r="C475" s="4" t="str">
        <f>HYPERLINK("https://transparencia-area-fim.mpce.mp.br/#/consulta/processo/pastadigital/092024000216076","09.2024.00021607-6")</f>
        <v>09.2024.00021607-6</v>
      </c>
      <c r="D475" s="5">
        <v>45474</v>
      </c>
      <c r="E475" s="9" t="s">
        <v>732</v>
      </c>
      <c r="F475" s="3" t="s">
        <v>70</v>
      </c>
      <c r="G475" s="6" t="str">
        <f>HYPERLINK("http://www8.mpce.mp.br/Empenhos/150001/NE/2024NE001617.pdf","2024NE001617")</f>
        <v>2024NE001617</v>
      </c>
      <c r="H475" s="7">
        <v>245.16</v>
      </c>
      <c r="I475" s="8" t="s">
        <v>38</v>
      </c>
      <c r="J475" s="12" t="s">
        <v>39</v>
      </c>
    </row>
    <row r="476" spans="1:10" ht="25.5" x14ac:dyDescent="0.25">
      <c r="A476" s="2" t="s">
        <v>20</v>
      </c>
      <c r="B476" s="3" t="s">
        <v>91</v>
      </c>
      <c r="C476" s="4" t="str">
        <f>HYPERLINK("https://transparencia-area-fim.mpce.mp.br/#/consulta/processo/pastadigital/092024000216043","09.2024.00021604-3")</f>
        <v>09.2024.00021604-3</v>
      </c>
      <c r="D476" s="5">
        <v>45474</v>
      </c>
      <c r="E476" s="9" t="s">
        <v>733</v>
      </c>
      <c r="F476" s="3" t="s">
        <v>70</v>
      </c>
      <c r="G476" s="6" t="str">
        <f>HYPERLINK("http://www8.mpce.mp.br/Empenhos/150001/NE/2024NE001618.pdf","2024NE001618")</f>
        <v>2024NE001618</v>
      </c>
      <c r="H476" s="7">
        <v>300</v>
      </c>
      <c r="I476" s="8" t="s">
        <v>43</v>
      </c>
      <c r="J476" s="12" t="s">
        <v>44</v>
      </c>
    </row>
    <row r="477" spans="1:10" ht="51" x14ac:dyDescent="0.25">
      <c r="A477" s="2" t="s">
        <v>20</v>
      </c>
      <c r="B477" s="3" t="s">
        <v>471</v>
      </c>
      <c r="C477" s="4" t="str">
        <f>HYPERLINK("https://transparencia-area-fim.mpce.mp.br/#/consulta/processo/pastadigital/092024000215799","09.2024.00021579-9")</f>
        <v>09.2024.00021579-9</v>
      </c>
      <c r="D477" s="5">
        <v>45474</v>
      </c>
      <c r="E477" s="9" t="s">
        <v>734</v>
      </c>
      <c r="F477" s="3" t="s">
        <v>70</v>
      </c>
      <c r="G477" s="6" t="str">
        <f>HYPERLINK("http://www8.mpce.mp.br/Empenhos/150001/NE/2024NE001622.pdf","2024NE001622")</f>
        <v>2024NE001622</v>
      </c>
      <c r="H477" s="7">
        <v>60.78</v>
      </c>
      <c r="I477" s="8" t="s">
        <v>96</v>
      </c>
      <c r="J477" s="12" t="s">
        <v>97</v>
      </c>
    </row>
    <row r="478" spans="1:10" ht="51" x14ac:dyDescent="0.25">
      <c r="A478" s="2" t="s">
        <v>20</v>
      </c>
      <c r="B478" s="3" t="s">
        <v>471</v>
      </c>
      <c r="C478" s="4" t="str">
        <f>HYPERLINK("https://transparencia-area-fim.mpce.mp.br/#/consulta/processo/pastadigital/092024000215877","09.2024.00021587-7")</f>
        <v>09.2024.00021587-7</v>
      </c>
      <c r="D478" s="5">
        <v>45474</v>
      </c>
      <c r="E478" s="9" t="s">
        <v>735</v>
      </c>
      <c r="F478" s="3" t="s">
        <v>70</v>
      </c>
      <c r="G478" s="6" t="str">
        <f>HYPERLINK("http://www8.mpce.mp.br/Empenhos/150001/NE/2024NE001623.pdf","2024NE001623")</f>
        <v>2024NE001623</v>
      </c>
      <c r="H478" s="7">
        <v>750</v>
      </c>
      <c r="I478" s="8" t="s">
        <v>89</v>
      </c>
      <c r="J478" s="12" t="s">
        <v>90</v>
      </c>
    </row>
    <row r="479" spans="1:10" ht="38.25" x14ac:dyDescent="0.25">
      <c r="A479" s="2" t="s">
        <v>20</v>
      </c>
      <c r="B479" s="3" t="s">
        <v>91</v>
      </c>
      <c r="C479" s="4" t="str">
        <f>HYPERLINK("https://transparencia-area-fim.mpce.mp.br/#/consulta/processo/pastadigital/092024000215699","09.2024.00021569-9")</f>
        <v>09.2024.00021569-9</v>
      </c>
      <c r="D479" s="5">
        <v>45474</v>
      </c>
      <c r="E479" s="9" t="s">
        <v>736</v>
      </c>
      <c r="F479" s="3" t="s">
        <v>70</v>
      </c>
      <c r="G479" s="6" t="str">
        <f>HYPERLINK("http://www8.mpce.mp.br/Empenhos/150001/NE/2024NE001624.pdf","2024NE001624")</f>
        <v>2024NE001624</v>
      </c>
      <c r="H479" s="7">
        <v>200</v>
      </c>
      <c r="I479" s="8" t="s">
        <v>118</v>
      </c>
      <c r="J479" s="12" t="s">
        <v>119</v>
      </c>
    </row>
    <row r="480" spans="1:10" ht="51" x14ac:dyDescent="0.25">
      <c r="A480" s="2" t="s">
        <v>20</v>
      </c>
      <c r="B480" s="3" t="s">
        <v>471</v>
      </c>
      <c r="C480" s="4" t="str">
        <f>HYPERLINK("https://transparencia-area-fim.mpce.mp.br/#/consulta/processo/pastadigital/092024000215911","09.2024.00021591-1")</f>
        <v>09.2024.00021591-1</v>
      </c>
      <c r="D480" s="5">
        <v>45475</v>
      </c>
      <c r="E480" s="9" t="s">
        <v>737</v>
      </c>
      <c r="F480" s="3" t="s">
        <v>70</v>
      </c>
      <c r="G480" s="6" t="str">
        <f>HYPERLINK("http://www8.mpce.mp.br/Empenhos/150001/NE/2024NE001625.pdf","2024NE001625")</f>
        <v>2024NE001625</v>
      </c>
      <c r="H480" s="7">
        <v>278.85000000000002</v>
      </c>
      <c r="I480" s="8" t="s">
        <v>86</v>
      </c>
      <c r="J480" s="12" t="s">
        <v>87</v>
      </c>
    </row>
    <row r="481" spans="1:10" ht="38.25" x14ac:dyDescent="0.25">
      <c r="A481" s="2" t="s">
        <v>20</v>
      </c>
      <c r="B481" s="3" t="s">
        <v>91</v>
      </c>
      <c r="C481" s="4" t="str">
        <f>HYPERLINK("https://transparencia-area-fim.mpce.mp.br/#/consulta/processo/pastadigital/092024000215944","09.2024.00021594-4")</f>
        <v>09.2024.00021594-4</v>
      </c>
      <c r="D481" s="5">
        <v>45474</v>
      </c>
      <c r="E481" s="9" t="s">
        <v>738</v>
      </c>
      <c r="F481" s="3" t="s">
        <v>70</v>
      </c>
      <c r="G481" s="6" t="str">
        <f>HYPERLINK("http://www8.mpce.mp.br/Empenhos/150001/NE/2024NE001626.pdf","2024NE001626")</f>
        <v>2024NE001626</v>
      </c>
      <c r="H481" s="7">
        <v>188.73</v>
      </c>
      <c r="I481" s="8" t="s">
        <v>77</v>
      </c>
      <c r="J481" s="12" t="s">
        <v>78</v>
      </c>
    </row>
    <row r="482" spans="1:10" ht="38.25" x14ac:dyDescent="0.25">
      <c r="A482" s="2" t="s">
        <v>20</v>
      </c>
      <c r="B482" s="3" t="s">
        <v>91</v>
      </c>
      <c r="C482" s="4" t="str">
        <f>HYPERLINK("https://transparencia-area-fim.mpce.mp.br/#/consulta/processo/pastadigital/092024000216698","09.2024.00021669-8")</f>
        <v>09.2024.00021669-8</v>
      </c>
      <c r="D482" s="5">
        <v>45474</v>
      </c>
      <c r="E482" s="9" t="s">
        <v>739</v>
      </c>
      <c r="F482" s="3" t="s">
        <v>70</v>
      </c>
      <c r="G482" s="6" t="str">
        <f>HYPERLINK("http://www8.mpce.mp.br/Empenhos/150001/NE/2024NE001627.pdf","2024NE001627")</f>
        <v>2024NE001627</v>
      </c>
      <c r="H482" s="7">
        <v>226.05</v>
      </c>
      <c r="I482" s="8" t="s">
        <v>25</v>
      </c>
      <c r="J482" s="12" t="s">
        <v>26</v>
      </c>
    </row>
    <row r="483" spans="1:10" ht="51" x14ac:dyDescent="0.25">
      <c r="A483" s="2" t="s">
        <v>20</v>
      </c>
      <c r="B483" s="3" t="s">
        <v>471</v>
      </c>
      <c r="C483" s="4" t="str">
        <f>HYPERLINK("https://transparencia-area-fim.mpce.mp.br/#/consulta/processo/pastadigital/092024000215933","09.2024.00021593-3")</f>
        <v>09.2024.00021593-3</v>
      </c>
      <c r="D483" s="5">
        <v>45474</v>
      </c>
      <c r="E483" s="9" t="s">
        <v>740</v>
      </c>
      <c r="F483" s="3" t="s">
        <v>70</v>
      </c>
      <c r="G483" s="6" t="str">
        <f>HYPERLINK("http://www8.mpce.mp.br/Empenhos/150001/NE/2024NE001643.pdf","2024NE001643")</f>
        <v>2024NE001643</v>
      </c>
      <c r="H483" s="7">
        <v>600</v>
      </c>
      <c r="I483" s="8" t="s">
        <v>80</v>
      </c>
      <c r="J483" s="12" t="s">
        <v>81</v>
      </c>
    </row>
    <row r="484" spans="1:10" ht="51" x14ac:dyDescent="0.25">
      <c r="A484" s="2" t="s">
        <v>20</v>
      </c>
      <c r="B484" s="3" t="s">
        <v>471</v>
      </c>
      <c r="C484" s="4" t="str">
        <f>HYPERLINK("https://transparencia-area-fim.mpce.mp.br/#/consulta/processo/pastadigital/092024000216876","09.2024.00021687-6")</f>
        <v>09.2024.00021687-6</v>
      </c>
      <c r="D484" s="5">
        <v>45474</v>
      </c>
      <c r="E484" s="9" t="s">
        <v>741</v>
      </c>
      <c r="F484" s="3" t="s">
        <v>70</v>
      </c>
      <c r="G484" s="6" t="str">
        <f>HYPERLINK("http://www8.mpce.mp.br/Empenhos/150001/NE/2024NE001644.pdf","2024NE001644")</f>
        <v>2024NE001644</v>
      </c>
      <c r="H484" s="7">
        <v>615</v>
      </c>
      <c r="I484" s="8" t="s">
        <v>30</v>
      </c>
      <c r="J484" s="12" t="s">
        <v>31</v>
      </c>
    </row>
    <row r="485" spans="1:10" ht="51" x14ac:dyDescent="0.25">
      <c r="A485" s="2" t="s">
        <v>20</v>
      </c>
      <c r="B485" s="3" t="s">
        <v>471</v>
      </c>
      <c r="C485" s="4" t="str">
        <f>HYPERLINK("https://transparencia-area-fim.mpce.mp.br/#/consulta/processo/pastadigital/092024000217342","09.2024.00021734-2")</f>
        <v>09.2024.00021734-2</v>
      </c>
      <c r="D485" s="5">
        <v>45474</v>
      </c>
      <c r="E485" s="9" t="s">
        <v>742</v>
      </c>
      <c r="F485" s="3" t="s">
        <v>70</v>
      </c>
      <c r="G485" s="6" t="str">
        <f>HYPERLINK("http://www8.mpce.mp.br/Empenhos/150001/NE/2024NE001660.pdf","2024NE001660")</f>
        <v>2024NE001660</v>
      </c>
      <c r="H485" s="7">
        <v>6000</v>
      </c>
      <c r="I485" s="8" t="s">
        <v>109</v>
      </c>
      <c r="J485" s="12" t="s">
        <v>110</v>
      </c>
    </row>
    <row r="486" spans="1:10" ht="25.5" x14ac:dyDescent="0.25">
      <c r="A486" s="2" t="s">
        <v>20</v>
      </c>
      <c r="B486" s="3" t="s">
        <v>471</v>
      </c>
      <c r="C486" s="4" t="str">
        <f>HYPERLINK("https://transparencia-area-fim.mpce.mp.br/#/consulta/processo/pastadigital/092024000217486","09.2024.00021748-6")</f>
        <v>09.2024.00021748-6</v>
      </c>
      <c r="D486" s="5">
        <v>45475</v>
      </c>
      <c r="E486" s="9" t="s">
        <v>743</v>
      </c>
      <c r="F486" s="3" t="s">
        <v>70</v>
      </c>
      <c r="G486" s="6" t="str">
        <f>HYPERLINK("http://www8.mpce.mp.br/Empenhos/150001/NE/2024NE001663.pdf","2024NE001663")</f>
        <v>2024NE001663</v>
      </c>
      <c r="H486" s="7">
        <v>30000</v>
      </c>
      <c r="I486" s="8" t="s">
        <v>115</v>
      </c>
      <c r="J486" s="12" t="s">
        <v>116</v>
      </c>
    </row>
    <row r="487" spans="1:10" ht="38.25" x14ac:dyDescent="0.25">
      <c r="A487" s="2" t="s">
        <v>20</v>
      </c>
      <c r="B487" s="3" t="s">
        <v>471</v>
      </c>
      <c r="C487" s="4" t="str">
        <f>HYPERLINK("https://transparencia-area-fim.mpce.mp.br/#/consulta/processo/pastadigital/092024000217397","09.2024.00021739-7")</f>
        <v>09.2024.00021739-7</v>
      </c>
      <c r="D487" s="5">
        <v>45475</v>
      </c>
      <c r="E487" s="9" t="s">
        <v>744</v>
      </c>
      <c r="F487" s="3" t="s">
        <v>70</v>
      </c>
      <c r="G487" s="6" t="str">
        <f>HYPERLINK("http://www8.mpce.mp.br/Empenhos/150001/NE/2024NE001676.pdf","2024NE001676")</f>
        <v>2024NE001676</v>
      </c>
      <c r="H487" s="7">
        <v>419.16</v>
      </c>
      <c r="I487" s="8" t="s">
        <v>112</v>
      </c>
      <c r="J487" s="12" t="s">
        <v>113</v>
      </c>
    </row>
    <row r="488" spans="1:10" ht="114.75" x14ac:dyDescent="0.25">
      <c r="A488" s="2" t="s">
        <v>20</v>
      </c>
      <c r="B488" s="3" t="s">
        <v>745</v>
      </c>
      <c r="C488" s="4" t="str">
        <f>HYPERLINK("https://transparencia-area-fim.mpce.mp.br/#/consulta/processo/pastadigital/092024000200440","09.2024.00020044-0")</f>
        <v>09.2024.00020044-0</v>
      </c>
      <c r="D488" s="5">
        <v>45483</v>
      </c>
      <c r="E488" s="9" t="s">
        <v>746</v>
      </c>
      <c r="F488" s="3" t="s">
        <v>399</v>
      </c>
      <c r="G488" s="6" t="str">
        <f>HYPERLINK("http://www8.mpce.mp.br/Empenhos/150001/NE/2024NE001801.pdf","2024NE001801")</f>
        <v>2024NE001801</v>
      </c>
      <c r="H488" s="7">
        <v>5114.34</v>
      </c>
      <c r="I488" s="8" t="s">
        <v>747</v>
      </c>
      <c r="J488" s="12" t="s">
        <v>748</v>
      </c>
    </row>
    <row r="489" spans="1:10" x14ac:dyDescent="0.25">
      <c r="A489" s="2"/>
      <c r="B489" s="3"/>
      <c r="C489" s="4"/>
      <c r="D489" s="5"/>
      <c r="E489" s="9"/>
      <c r="F489" s="3"/>
      <c r="G489" s="6"/>
      <c r="H489" s="7"/>
      <c r="I489" s="8"/>
      <c r="J489" s="12"/>
    </row>
    <row r="490" spans="1:10" x14ac:dyDescent="0.25">
      <c r="A490" s="2"/>
      <c r="B490" s="3"/>
      <c r="C490" s="4"/>
      <c r="D490" s="5"/>
      <c r="E490" s="9"/>
      <c r="F490" s="3"/>
      <c r="G490" s="6"/>
      <c r="H490" s="7"/>
      <c r="I490" s="8"/>
      <c r="J490" s="12"/>
    </row>
    <row r="491" spans="1:10" x14ac:dyDescent="0.25">
      <c r="A491" s="2"/>
      <c r="B491" s="3"/>
      <c r="C491" s="4"/>
      <c r="D491" s="5"/>
      <c r="E491" s="9"/>
      <c r="F491" s="3"/>
      <c r="G491" s="6"/>
      <c r="H491" s="7"/>
      <c r="I491" s="8"/>
      <c r="J491" s="12"/>
    </row>
    <row r="492" spans="1:10" x14ac:dyDescent="0.25">
      <c r="A492" s="2"/>
      <c r="B492" s="3"/>
      <c r="C492" s="4"/>
      <c r="D492" s="5"/>
      <c r="E492" s="9"/>
      <c r="F492" s="3"/>
      <c r="G492" s="6"/>
      <c r="H492" s="7"/>
      <c r="I492" s="8"/>
      <c r="J492" s="12"/>
    </row>
    <row r="493" spans="1:10" x14ac:dyDescent="0.25">
      <c r="A493" s="2"/>
      <c r="B493" s="3"/>
      <c r="C493" s="4"/>
      <c r="D493" s="5"/>
      <c r="E493" s="9"/>
      <c r="F493" s="3"/>
      <c r="G493" s="6"/>
      <c r="H493" s="7"/>
      <c r="I493" s="8"/>
      <c r="J493" s="12"/>
    </row>
    <row r="494" spans="1:10" x14ac:dyDescent="0.25">
      <c r="A494" s="2"/>
      <c r="B494" s="3"/>
      <c r="C494" s="4"/>
      <c r="D494" s="5"/>
      <c r="E494" s="9"/>
      <c r="F494" s="3"/>
      <c r="G494" s="6"/>
      <c r="H494" s="7"/>
      <c r="I494" s="8"/>
      <c r="J494" s="12"/>
    </row>
    <row r="495" spans="1:10" x14ac:dyDescent="0.25">
      <c r="A495" s="2"/>
      <c r="B495" s="3"/>
      <c r="C495" s="4"/>
      <c r="D495" s="5"/>
      <c r="E495" s="9"/>
      <c r="F495" s="3"/>
      <c r="G495" s="6"/>
      <c r="H495" s="7"/>
      <c r="I495" s="8"/>
      <c r="J495" s="12"/>
    </row>
    <row r="496" spans="1:10" x14ac:dyDescent="0.25">
      <c r="A496" s="2"/>
      <c r="B496" s="3"/>
      <c r="C496" s="4"/>
      <c r="D496" s="5"/>
      <c r="E496" s="9"/>
      <c r="F496" s="3"/>
      <c r="G496" s="6"/>
      <c r="H496" s="7"/>
      <c r="I496" s="8"/>
      <c r="J496" s="12"/>
    </row>
    <row r="497" spans="1:10" x14ac:dyDescent="0.25">
      <c r="A497" s="2"/>
      <c r="B497" s="3"/>
      <c r="C497" s="4"/>
      <c r="D497" s="5"/>
      <c r="E497" s="9"/>
      <c r="F497" s="3"/>
      <c r="G497" s="6"/>
      <c r="H497" s="7"/>
      <c r="I497" s="8"/>
      <c r="J497" s="12"/>
    </row>
    <row r="498" spans="1:10" x14ac:dyDescent="0.25">
      <c r="A498" s="2"/>
      <c r="B498" s="3"/>
      <c r="C498" s="4"/>
      <c r="D498" s="5"/>
      <c r="E498" s="9"/>
      <c r="F498" s="3"/>
      <c r="G498" s="6"/>
      <c r="H498" s="7"/>
      <c r="I498" s="8"/>
      <c r="J498" s="12"/>
    </row>
    <row r="499" spans="1:10" x14ac:dyDescent="0.25">
      <c r="A499" s="2"/>
      <c r="B499" s="3"/>
      <c r="C499" s="4"/>
      <c r="D499" s="5"/>
      <c r="E499" s="9"/>
      <c r="F499" s="3"/>
      <c r="G499" s="6"/>
      <c r="H499" s="7"/>
      <c r="I499" s="8"/>
      <c r="J499" s="12"/>
    </row>
    <row r="500" spans="1:10" x14ac:dyDescent="0.25">
      <c r="A500" s="2"/>
      <c r="B500" s="3"/>
      <c r="C500" s="4"/>
      <c r="D500" s="5"/>
      <c r="E500" s="9"/>
      <c r="F500" s="3"/>
      <c r="G500" s="6"/>
      <c r="H500" s="7"/>
      <c r="I500" s="8"/>
      <c r="J500" s="12"/>
    </row>
    <row r="501" spans="1:10" x14ac:dyDescent="0.25">
      <c r="A501" s="2"/>
      <c r="B501" s="3"/>
      <c r="C501" s="4"/>
      <c r="D501" s="5"/>
      <c r="E501" s="9"/>
      <c r="F501" s="3"/>
      <c r="G501" s="6"/>
      <c r="H501" s="7"/>
      <c r="I501" s="8"/>
      <c r="J501" s="12"/>
    </row>
    <row r="502" spans="1:10" x14ac:dyDescent="0.25">
      <c r="A502" s="2"/>
      <c r="B502" s="3"/>
      <c r="C502" s="4"/>
      <c r="D502" s="5"/>
      <c r="E502" s="9"/>
      <c r="F502" s="3"/>
      <c r="G502" s="6"/>
      <c r="H502" s="7"/>
      <c r="I502" s="8"/>
      <c r="J502" s="12"/>
    </row>
    <row r="503" spans="1:10" x14ac:dyDescent="0.25">
      <c r="A503" s="2"/>
      <c r="B503" s="3"/>
      <c r="C503" s="4"/>
      <c r="D503" s="5"/>
      <c r="E503" s="9"/>
      <c r="F503" s="3"/>
      <c r="G503" s="6"/>
      <c r="H503" s="7"/>
      <c r="I503" s="8"/>
      <c r="J503" s="12"/>
    </row>
    <row r="504" spans="1:10" x14ac:dyDescent="0.25">
      <c r="A504" s="2"/>
      <c r="B504" s="3"/>
      <c r="C504" s="4"/>
      <c r="D504" s="5"/>
      <c r="E504" s="9"/>
      <c r="F504" s="3"/>
      <c r="G504" s="6"/>
      <c r="H504" s="7"/>
      <c r="I504" s="8"/>
      <c r="J504" s="12"/>
    </row>
    <row r="505" spans="1:10" x14ac:dyDescent="0.25">
      <c r="A505" s="2"/>
      <c r="B505" s="3"/>
      <c r="C505" s="4"/>
      <c r="D505" s="5"/>
      <c r="E505" s="9"/>
      <c r="F505" s="3"/>
      <c r="G505" s="6"/>
      <c r="H505" s="7"/>
      <c r="I505" s="8"/>
      <c r="J505" s="12"/>
    </row>
    <row r="506" spans="1:10" x14ac:dyDescent="0.25">
      <c r="A506" s="2"/>
      <c r="B506" s="3"/>
      <c r="C506" s="4"/>
      <c r="D506" s="5"/>
      <c r="E506" s="9"/>
      <c r="F506" s="3"/>
      <c r="G506" s="6"/>
      <c r="H506" s="7"/>
      <c r="I506" s="8"/>
      <c r="J506" s="12"/>
    </row>
    <row r="507" spans="1:10" x14ac:dyDescent="0.25">
      <c r="A507" s="2"/>
      <c r="B507" s="3"/>
      <c r="C507" s="4"/>
      <c r="D507" s="5"/>
      <c r="E507" s="9"/>
      <c r="F507" s="3"/>
      <c r="G507" s="6"/>
      <c r="H507" s="7"/>
      <c r="I507" s="8"/>
      <c r="J507" s="12"/>
    </row>
    <row r="508" spans="1:10" x14ac:dyDescent="0.25">
      <c r="A508" s="2"/>
      <c r="B508" s="3"/>
      <c r="C508" s="4"/>
      <c r="D508" s="5"/>
      <c r="E508" s="9"/>
      <c r="F508" s="3"/>
      <c r="G508" s="6"/>
      <c r="H508" s="7"/>
      <c r="I508" s="8"/>
      <c r="J508" s="12"/>
    </row>
    <row r="509" spans="1:10" x14ac:dyDescent="0.25">
      <c r="A509" s="2"/>
      <c r="B509" s="3"/>
      <c r="C509" s="4"/>
      <c r="D509" s="5"/>
      <c r="E509" s="9"/>
      <c r="F509" s="3"/>
      <c r="G509" s="6"/>
      <c r="H509" s="7"/>
      <c r="I509" s="8"/>
      <c r="J509" s="12"/>
    </row>
    <row r="510" spans="1:10" x14ac:dyDescent="0.25">
      <c r="A510" s="2"/>
      <c r="B510" s="3"/>
      <c r="C510" s="4"/>
      <c r="D510" s="5"/>
      <c r="E510" s="9"/>
      <c r="F510" s="3"/>
      <c r="G510" s="6"/>
      <c r="H510" s="7"/>
      <c r="I510" s="8"/>
      <c r="J510" s="12"/>
    </row>
    <row r="511" spans="1:10" x14ac:dyDescent="0.25">
      <c r="A511" s="2"/>
      <c r="B511" s="3"/>
      <c r="C511" s="4"/>
      <c r="D511" s="5"/>
      <c r="E511" s="9"/>
      <c r="F511" s="3"/>
      <c r="G511" s="6"/>
      <c r="H511" s="7"/>
      <c r="I511" s="8"/>
      <c r="J511" s="12"/>
    </row>
    <row r="512" spans="1:10" x14ac:dyDescent="0.25">
      <c r="A512" s="2"/>
      <c r="B512" s="3"/>
      <c r="C512" s="4"/>
      <c r="D512" s="5"/>
      <c r="E512" s="9"/>
      <c r="F512" s="3"/>
      <c r="G512" s="6"/>
      <c r="H512" s="7"/>
      <c r="I512" s="8"/>
      <c r="J512" s="12"/>
    </row>
    <row r="513" spans="1:10" x14ac:dyDescent="0.25">
      <c r="A513" s="2"/>
      <c r="B513" s="3"/>
      <c r="C513" s="4"/>
      <c r="D513" s="5"/>
      <c r="E513" s="9"/>
      <c r="F513" s="3"/>
      <c r="G513" s="6"/>
      <c r="H513" s="7"/>
      <c r="I513" s="8"/>
      <c r="J513" s="12"/>
    </row>
    <row r="514" spans="1:10" x14ac:dyDescent="0.25">
      <c r="A514" s="2"/>
      <c r="B514" s="3"/>
      <c r="C514" s="4"/>
      <c r="D514" s="5"/>
      <c r="E514" s="9"/>
      <c r="F514" s="3"/>
      <c r="G514" s="6"/>
      <c r="H514" s="7"/>
      <c r="I514" s="8"/>
      <c r="J514" s="12"/>
    </row>
    <row r="515" spans="1:10" x14ac:dyDescent="0.25">
      <c r="A515" s="2"/>
      <c r="B515" s="3"/>
      <c r="C515" s="4"/>
      <c r="D515" s="5"/>
      <c r="E515" s="9"/>
      <c r="F515" s="3"/>
      <c r="G515" s="6"/>
      <c r="H515" s="7"/>
      <c r="I515" s="8"/>
      <c r="J515" s="12"/>
    </row>
    <row r="516" spans="1:10" x14ac:dyDescent="0.25">
      <c r="A516" s="2"/>
      <c r="B516" s="3"/>
      <c r="C516" s="4"/>
      <c r="D516" s="5"/>
      <c r="E516" s="9"/>
      <c r="F516" s="3"/>
      <c r="G516" s="6"/>
      <c r="H516" s="7"/>
      <c r="I516" s="8"/>
      <c r="J516" s="12"/>
    </row>
    <row r="517" spans="1:10" x14ac:dyDescent="0.25">
      <c r="A517" s="2"/>
      <c r="B517" s="3"/>
      <c r="C517" s="4"/>
      <c r="D517" s="5"/>
      <c r="E517" s="9"/>
      <c r="F517" s="3"/>
      <c r="G517" s="6"/>
      <c r="H517" s="7"/>
      <c r="I517" s="8"/>
      <c r="J517" s="12"/>
    </row>
    <row r="518" spans="1:10" x14ac:dyDescent="0.25">
      <c r="A518" s="2"/>
      <c r="B518" s="3"/>
      <c r="C518" s="4"/>
      <c r="D518" s="5"/>
      <c r="E518" s="9"/>
      <c r="F518" s="3"/>
      <c r="G518" s="6"/>
      <c r="H518" s="7"/>
      <c r="I518" s="8"/>
      <c r="J518" s="12"/>
    </row>
    <row r="519" spans="1:10" x14ac:dyDescent="0.25">
      <c r="A519" s="2"/>
      <c r="B519" s="3"/>
      <c r="C519" s="4"/>
      <c r="D519" s="5"/>
      <c r="E519" s="9"/>
      <c r="F519" s="3"/>
      <c r="G519" s="6"/>
      <c r="H519" s="7"/>
      <c r="I519" s="8"/>
      <c r="J519" s="12"/>
    </row>
    <row r="520" spans="1:10" x14ac:dyDescent="0.25">
      <c r="A520" s="2"/>
      <c r="B520" s="3"/>
      <c r="C520" s="4"/>
      <c r="D520" s="5"/>
      <c r="E520" s="9"/>
      <c r="F520" s="3"/>
      <c r="G520" s="6"/>
      <c r="H520" s="7"/>
      <c r="I520" s="8"/>
      <c r="J520" s="12"/>
    </row>
    <row r="521" spans="1:10" x14ac:dyDescent="0.25">
      <c r="A521" s="2"/>
      <c r="B521" s="3"/>
      <c r="C521" s="4"/>
      <c r="D521" s="5"/>
      <c r="E521" s="9"/>
      <c r="F521" s="3"/>
      <c r="G521" s="6"/>
      <c r="H521" s="7"/>
      <c r="I521" s="8"/>
      <c r="J521" s="12"/>
    </row>
    <row r="522" spans="1:10" x14ac:dyDescent="0.25">
      <c r="A522" s="2"/>
      <c r="B522" s="3"/>
      <c r="C522" s="4"/>
      <c r="D522" s="5"/>
      <c r="E522" s="9"/>
      <c r="F522" s="3"/>
      <c r="G522" s="6"/>
      <c r="H522" s="7"/>
      <c r="I522" s="8"/>
      <c r="J522" s="12"/>
    </row>
    <row r="523" spans="1:10" x14ac:dyDescent="0.25">
      <c r="A523" s="2"/>
      <c r="B523" s="3"/>
      <c r="C523" s="4"/>
      <c r="D523" s="5"/>
      <c r="E523" s="9"/>
      <c r="F523" s="3"/>
      <c r="G523" s="6"/>
      <c r="H523" s="7"/>
      <c r="I523" s="8"/>
      <c r="J523" s="12"/>
    </row>
    <row r="524" spans="1:10" x14ac:dyDescent="0.25">
      <c r="A524" s="2"/>
      <c r="B524" s="3"/>
      <c r="C524" s="4"/>
      <c r="D524" s="5"/>
      <c r="E524" s="9"/>
      <c r="F524" s="3"/>
      <c r="G524" s="6"/>
      <c r="H524" s="7"/>
      <c r="I524" s="8"/>
      <c r="J524" s="12"/>
    </row>
    <row r="525" spans="1:10" x14ac:dyDescent="0.25">
      <c r="A525" s="2"/>
      <c r="B525" s="3"/>
      <c r="C525" s="4"/>
      <c r="D525" s="5"/>
      <c r="E525" s="9"/>
      <c r="F525" s="3"/>
      <c r="G525" s="6"/>
      <c r="H525" s="7"/>
      <c r="I525" s="8"/>
      <c r="J525" s="12"/>
    </row>
    <row r="526" spans="1:10" x14ac:dyDescent="0.25">
      <c r="A526" s="2"/>
      <c r="B526" s="3"/>
      <c r="C526" s="4"/>
      <c r="D526" s="5"/>
      <c r="E526" s="9"/>
      <c r="F526" s="3"/>
      <c r="G526" s="6"/>
      <c r="H526" s="7"/>
      <c r="I526" s="8"/>
      <c r="J526" s="12"/>
    </row>
    <row r="527" spans="1:10" x14ac:dyDescent="0.25">
      <c r="A527" s="2"/>
      <c r="B527" s="3"/>
      <c r="C527" s="4"/>
      <c r="D527" s="5"/>
      <c r="E527" s="9"/>
      <c r="F527" s="3"/>
      <c r="G527" s="6"/>
      <c r="H527" s="7"/>
      <c r="I527" s="8"/>
      <c r="J527" s="12"/>
    </row>
    <row r="528" spans="1:10" x14ac:dyDescent="0.25">
      <c r="A528" s="2"/>
      <c r="B528" s="3"/>
      <c r="C528" s="4"/>
      <c r="D528" s="5"/>
      <c r="E528" s="9"/>
      <c r="F528" s="3"/>
      <c r="G528" s="6"/>
      <c r="H528" s="7"/>
      <c r="I528" s="8"/>
      <c r="J528" s="12"/>
    </row>
    <row r="529" spans="1:10" x14ac:dyDescent="0.25">
      <c r="A529" s="2"/>
      <c r="B529" s="3"/>
      <c r="C529" s="4"/>
      <c r="D529" s="5"/>
      <c r="E529" s="9"/>
      <c r="F529" s="3"/>
      <c r="G529" s="6"/>
      <c r="H529" s="7"/>
      <c r="I529" s="8"/>
      <c r="J529" s="12"/>
    </row>
    <row r="530" spans="1:10" x14ac:dyDescent="0.25">
      <c r="A530" s="2"/>
      <c r="B530" s="3"/>
      <c r="C530" s="4"/>
      <c r="D530" s="5"/>
      <c r="E530" s="9"/>
      <c r="F530" s="3"/>
      <c r="G530" s="6"/>
      <c r="H530" s="7"/>
      <c r="I530" s="8"/>
      <c r="J530" s="12"/>
    </row>
    <row r="531" spans="1:10" x14ac:dyDescent="0.25">
      <c r="A531" s="2"/>
      <c r="B531" s="3"/>
      <c r="C531" s="4"/>
      <c r="D531" s="5"/>
      <c r="E531" s="9"/>
      <c r="F531" s="3"/>
      <c r="G531" s="6"/>
      <c r="H531" s="7"/>
      <c r="I531" s="8"/>
      <c r="J531" s="12"/>
    </row>
    <row r="532" spans="1:10" x14ac:dyDescent="0.25">
      <c r="A532" s="2"/>
      <c r="B532" s="3"/>
      <c r="C532" s="4"/>
      <c r="D532" s="5"/>
      <c r="E532" s="9"/>
      <c r="F532" s="3"/>
      <c r="G532" s="6"/>
      <c r="H532" s="7"/>
      <c r="I532" s="8"/>
      <c r="J532" s="12"/>
    </row>
    <row r="533" spans="1:10" x14ac:dyDescent="0.25">
      <c r="A533" s="2"/>
      <c r="B533" s="3"/>
      <c r="C533" s="4"/>
      <c r="D533" s="5"/>
      <c r="E533" s="9"/>
      <c r="F533" s="3"/>
      <c r="G533" s="6"/>
      <c r="H533" s="7"/>
      <c r="I533" s="8"/>
      <c r="J533" s="12"/>
    </row>
    <row r="534" spans="1:10" x14ac:dyDescent="0.25">
      <c r="A534" s="2"/>
      <c r="B534" s="3"/>
      <c r="C534" s="4"/>
      <c r="D534" s="5"/>
      <c r="E534" s="9"/>
      <c r="F534" s="3"/>
      <c r="G534" s="6"/>
      <c r="H534" s="7"/>
      <c r="I534" s="8"/>
      <c r="J534" s="12"/>
    </row>
    <row r="535" spans="1:10" x14ac:dyDescent="0.25">
      <c r="A535" s="2"/>
      <c r="B535" s="3"/>
      <c r="C535" s="4"/>
      <c r="D535" s="5"/>
      <c r="E535" s="9"/>
      <c r="F535" s="3"/>
      <c r="G535" s="6"/>
      <c r="H535" s="7"/>
      <c r="I535" s="8"/>
      <c r="J535" s="12"/>
    </row>
    <row r="536" spans="1:10" x14ac:dyDescent="0.25">
      <c r="A536" s="2"/>
      <c r="B536" s="3"/>
      <c r="C536" s="4"/>
      <c r="D536" s="5"/>
      <c r="E536" s="9"/>
      <c r="F536" s="3"/>
      <c r="G536" s="6"/>
      <c r="H536" s="7"/>
      <c r="I536" s="8"/>
      <c r="J536" s="12"/>
    </row>
    <row r="537" spans="1:10" x14ac:dyDescent="0.25">
      <c r="A537" s="2"/>
      <c r="B537" s="3"/>
      <c r="C537" s="4"/>
      <c r="D537" s="5"/>
      <c r="E537" s="9"/>
      <c r="F537" s="3"/>
      <c r="G537" s="6"/>
      <c r="H537" s="7"/>
      <c r="I537" s="8"/>
      <c r="J537" s="12"/>
    </row>
    <row r="538" spans="1:10" x14ac:dyDescent="0.25">
      <c r="A538" s="2"/>
      <c r="B538" s="3"/>
      <c r="C538" s="4"/>
      <c r="D538" s="5"/>
      <c r="E538" s="9"/>
      <c r="F538" s="3"/>
      <c r="G538" s="6"/>
      <c r="H538" s="7"/>
      <c r="I538" s="8"/>
      <c r="J538" s="12"/>
    </row>
    <row r="539" spans="1:10" x14ac:dyDescent="0.25">
      <c r="A539" s="2"/>
      <c r="B539" s="3"/>
      <c r="C539" s="4"/>
      <c r="D539" s="5"/>
      <c r="E539" s="9"/>
      <c r="F539" s="3"/>
      <c r="G539" s="6"/>
      <c r="H539" s="7"/>
      <c r="I539" s="8"/>
      <c r="J539" s="12"/>
    </row>
    <row r="540" spans="1:10" x14ac:dyDescent="0.25">
      <c r="A540" s="2"/>
      <c r="B540" s="3"/>
      <c r="C540" s="4"/>
      <c r="D540" s="5"/>
      <c r="E540" s="9"/>
      <c r="F540" s="3"/>
      <c r="G540" s="6"/>
      <c r="H540" s="7"/>
      <c r="I540" s="8"/>
      <c r="J540" s="12"/>
    </row>
    <row r="541" spans="1:10" x14ac:dyDescent="0.25">
      <c r="A541" s="2"/>
      <c r="B541" s="3"/>
      <c r="C541" s="4"/>
      <c r="D541" s="5"/>
      <c r="E541" s="9"/>
      <c r="F541" s="3"/>
      <c r="G541" s="6"/>
      <c r="H541" s="7"/>
      <c r="I541" s="8"/>
      <c r="J541" s="12"/>
    </row>
    <row r="542" spans="1:10" x14ac:dyDescent="0.25">
      <c r="A542" s="2"/>
      <c r="B542" s="3"/>
      <c r="C542" s="4"/>
      <c r="D542" s="5"/>
      <c r="E542" s="9"/>
      <c r="F542" s="3"/>
      <c r="G542" s="6"/>
      <c r="H542" s="7"/>
      <c r="I542" s="8"/>
      <c r="J542" s="12"/>
    </row>
    <row r="543" spans="1:10" x14ac:dyDescent="0.25">
      <c r="A543" s="2"/>
      <c r="B543" s="3"/>
      <c r="C543" s="4"/>
      <c r="D543" s="5"/>
      <c r="E543" s="9"/>
      <c r="F543" s="3"/>
      <c r="G543" s="6"/>
      <c r="H543" s="7"/>
      <c r="I543" s="8"/>
      <c r="J543" s="12"/>
    </row>
    <row r="544" spans="1:10" x14ac:dyDescent="0.25">
      <c r="A544" s="2"/>
      <c r="B544" s="3"/>
      <c r="C544" s="4"/>
      <c r="D544" s="5"/>
      <c r="E544" s="9"/>
      <c r="F544" s="3"/>
      <c r="G544" s="6"/>
      <c r="H544" s="7"/>
      <c r="I544" s="8"/>
      <c r="J544" s="12"/>
    </row>
    <row r="545" spans="1:10" x14ac:dyDescent="0.25">
      <c r="A545" s="2"/>
      <c r="B545" s="3"/>
      <c r="C545" s="4"/>
      <c r="D545" s="5"/>
      <c r="E545" s="9"/>
      <c r="F545" s="3"/>
      <c r="G545" s="6"/>
      <c r="H545" s="7"/>
      <c r="I545" s="8"/>
      <c r="J545" s="12"/>
    </row>
    <row r="546" spans="1:10" x14ac:dyDescent="0.25">
      <c r="A546" s="2"/>
      <c r="B546" s="3"/>
      <c r="C546" s="4"/>
      <c r="D546" s="5"/>
      <c r="E546" s="9"/>
      <c r="F546" s="3"/>
      <c r="G546" s="6"/>
      <c r="H546" s="7"/>
      <c r="I546" s="8"/>
      <c r="J546" s="12"/>
    </row>
    <row r="547" spans="1:10" x14ac:dyDescent="0.25">
      <c r="A547" s="2"/>
      <c r="B547" s="3"/>
      <c r="C547" s="4"/>
      <c r="D547" s="5"/>
      <c r="E547" s="9"/>
      <c r="F547" s="3"/>
      <c r="G547" s="6"/>
      <c r="H547" s="7"/>
      <c r="I547" s="8"/>
      <c r="J547" s="12"/>
    </row>
    <row r="548" spans="1:10" x14ac:dyDescent="0.25">
      <c r="A548" s="2"/>
      <c r="B548" s="3"/>
      <c r="C548" s="4"/>
      <c r="D548" s="5"/>
      <c r="E548" s="9"/>
      <c r="F548" s="3"/>
      <c r="G548" s="6"/>
      <c r="H548" s="7"/>
      <c r="I548" s="8"/>
      <c r="J548" s="12"/>
    </row>
    <row r="549" spans="1:10" x14ac:dyDescent="0.25">
      <c r="A549" s="2"/>
      <c r="B549" s="3"/>
      <c r="C549" s="4"/>
      <c r="D549" s="5"/>
      <c r="E549" s="9"/>
      <c r="F549" s="3"/>
      <c r="G549" s="6"/>
      <c r="H549" s="7"/>
      <c r="I549" s="8"/>
      <c r="J549" s="12"/>
    </row>
    <row r="550" spans="1:10" x14ac:dyDescent="0.25">
      <c r="A550" s="2"/>
      <c r="B550" s="3"/>
      <c r="C550" s="4"/>
      <c r="D550" s="5"/>
      <c r="E550" s="9"/>
      <c r="F550" s="3"/>
      <c r="G550" s="6"/>
      <c r="H550" s="7"/>
      <c r="I550" s="8"/>
      <c r="J550" s="12"/>
    </row>
    <row r="551" spans="1:10" x14ac:dyDescent="0.25">
      <c r="A551" s="2"/>
      <c r="B551" s="3"/>
      <c r="C551" s="4"/>
      <c r="D551" s="5"/>
      <c r="E551" s="9"/>
      <c r="F551" s="3"/>
      <c r="G551" s="6"/>
      <c r="H551" s="7"/>
      <c r="I551" s="8"/>
      <c r="J551" s="12"/>
    </row>
    <row r="552" spans="1:10" x14ac:dyDescent="0.25">
      <c r="A552" s="2"/>
      <c r="B552" s="3"/>
      <c r="C552" s="4"/>
      <c r="D552" s="5"/>
      <c r="E552" s="9"/>
      <c r="F552" s="3"/>
      <c r="G552" s="6"/>
      <c r="H552" s="7"/>
      <c r="I552" s="8"/>
      <c r="J552" s="12"/>
    </row>
    <row r="553" spans="1:10" x14ac:dyDescent="0.25">
      <c r="A553" s="2"/>
      <c r="B553" s="3"/>
      <c r="C553" s="4"/>
      <c r="D553" s="5"/>
      <c r="E553" s="9"/>
      <c r="F553" s="3"/>
      <c r="G553" s="6"/>
      <c r="H553" s="7"/>
      <c r="I553" s="8"/>
      <c r="J553" s="12"/>
    </row>
    <row r="554" spans="1:10" x14ac:dyDescent="0.25">
      <c r="A554" s="2"/>
      <c r="B554" s="3"/>
      <c r="C554" s="4"/>
      <c r="D554" s="5"/>
      <c r="E554" s="9"/>
      <c r="F554" s="3"/>
      <c r="G554" s="6"/>
      <c r="H554" s="7"/>
      <c r="I554" s="8"/>
      <c r="J554" s="12"/>
    </row>
    <row r="555" spans="1:10" x14ac:dyDescent="0.25">
      <c r="A555" s="2"/>
      <c r="B555" s="3"/>
      <c r="C555" s="4"/>
      <c r="D555" s="5"/>
      <c r="E555" s="9"/>
      <c r="F555" s="3"/>
      <c r="G555" s="6"/>
      <c r="H555" s="7"/>
      <c r="I555" s="8"/>
      <c r="J555" s="12"/>
    </row>
    <row r="556" spans="1:10" x14ac:dyDescent="0.25">
      <c r="A556" s="2"/>
      <c r="B556" s="3"/>
      <c r="C556" s="4"/>
      <c r="D556" s="5"/>
      <c r="E556" s="9"/>
      <c r="F556" s="3"/>
      <c r="G556" s="6"/>
      <c r="H556" s="7"/>
      <c r="I556" s="8"/>
      <c r="J556" s="12"/>
    </row>
    <row r="557" spans="1:10" x14ac:dyDescent="0.25">
      <c r="A557" s="2"/>
      <c r="B557" s="3"/>
      <c r="C557" s="4"/>
      <c r="D557" s="5"/>
      <c r="E557" s="9"/>
      <c r="F557" s="3"/>
      <c r="G557" s="6"/>
      <c r="H557" s="7"/>
      <c r="I557" s="8"/>
      <c r="J557" s="12"/>
    </row>
    <row r="558" spans="1:10" x14ac:dyDescent="0.25">
      <c r="A558" s="2"/>
      <c r="B558" s="3"/>
      <c r="C558" s="4"/>
      <c r="D558" s="5"/>
      <c r="E558" s="9"/>
      <c r="F558" s="3"/>
      <c r="G558" s="6"/>
      <c r="H558" s="7"/>
      <c r="I558" s="8"/>
      <c r="J558" s="12"/>
    </row>
    <row r="559" spans="1:10" x14ac:dyDescent="0.25">
      <c r="A559" s="2"/>
      <c r="B559" s="3"/>
      <c r="C559" s="4"/>
      <c r="D559" s="5"/>
      <c r="E559" s="9"/>
      <c r="F559" s="3"/>
      <c r="G559" s="6"/>
      <c r="H559" s="7"/>
      <c r="I559" s="8"/>
      <c r="J559" s="12"/>
    </row>
    <row r="560" spans="1:10" x14ac:dyDescent="0.25">
      <c r="A560" s="2"/>
      <c r="B560" s="3"/>
      <c r="C560" s="4"/>
      <c r="D560" s="5"/>
      <c r="E560" s="9"/>
      <c r="F560" s="3"/>
      <c r="G560" s="6"/>
      <c r="H560" s="7"/>
      <c r="I560" s="8"/>
      <c r="J560" s="12"/>
    </row>
    <row r="561" spans="1:10" x14ac:dyDescent="0.25">
      <c r="A561" s="2"/>
      <c r="B561" s="3"/>
      <c r="C561" s="4"/>
      <c r="D561" s="5"/>
      <c r="E561" s="9"/>
      <c r="F561" s="3"/>
      <c r="G561" s="6"/>
      <c r="H561" s="7"/>
      <c r="I561" s="8"/>
      <c r="J561" s="12"/>
    </row>
    <row r="562" spans="1:10" x14ac:dyDescent="0.25">
      <c r="A562" s="2"/>
      <c r="B562" s="3"/>
      <c r="C562" s="4"/>
      <c r="D562" s="5"/>
      <c r="E562" s="9"/>
      <c r="F562" s="3"/>
      <c r="G562" s="6"/>
      <c r="H562" s="7"/>
      <c r="I562" s="8"/>
      <c r="J562" s="12"/>
    </row>
    <row r="563" spans="1:10" x14ac:dyDescent="0.25">
      <c r="A563" s="2"/>
      <c r="B563" s="3"/>
      <c r="C563" s="4"/>
      <c r="D563" s="5"/>
      <c r="E563" s="9"/>
      <c r="F563" s="3"/>
      <c r="G563" s="6"/>
      <c r="H563" s="7"/>
      <c r="I563" s="8"/>
      <c r="J563" s="12"/>
    </row>
    <row r="564" spans="1:10" x14ac:dyDescent="0.25">
      <c r="A564" s="2"/>
      <c r="B564" s="3"/>
      <c r="C564" s="4"/>
      <c r="D564" s="5"/>
      <c r="E564" s="9"/>
      <c r="F564" s="3"/>
      <c r="G564" s="6"/>
      <c r="H564" s="7"/>
      <c r="I564" s="8"/>
      <c r="J564" s="12"/>
    </row>
    <row r="565" spans="1:10" x14ac:dyDescent="0.25">
      <c r="A565" s="2"/>
      <c r="B565" s="3"/>
      <c r="C565" s="4"/>
      <c r="D565" s="5"/>
      <c r="E565" s="9"/>
      <c r="F565" s="3"/>
      <c r="G565" s="6"/>
      <c r="H565" s="7"/>
      <c r="I565" s="8"/>
      <c r="J565" s="12"/>
    </row>
    <row r="566" spans="1:10" x14ac:dyDescent="0.25">
      <c r="A566" s="2"/>
      <c r="B566" s="3"/>
      <c r="C566" s="4"/>
      <c r="D566" s="5"/>
      <c r="E566" s="9"/>
      <c r="F566" s="3"/>
      <c r="G566" s="6"/>
      <c r="H566" s="7"/>
      <c r="I566" s="8"/>
      <c r="J566" s="12"/>
    </row>
    <row r="567" spans="1:10" x14ac:dyDescent="0.25">
      <c r="A567" s="2"/>
      <c r="B567" s="3"/>
      <c r="C567" s="4"/>
      <c r="D567" s="5"/>
      <c r="E567" s="9"/>
      <c r="F567" s="3"/>
      <c r="G567" s="6"/>
      <c r="H567" s="7"/>
      <c r="I567" s="8"/>
      <c r="J567" s="12"/>
    </row>
    <row r="568" spans="1:10" x14ac:dyDescent="0.25">
      <c r="A568" s="2"/>
      <c r="B568" s="3"/>
      <c r="C568" s="4"/>
      <c r="D568" s="5"/>
      <c r="E568" s="9"/>
      <c r="F568" s="3"/>
      <c r="G568" s="6"/>
      <c r="H568" s="7"/>
      <c r="I568" s="8"/>
      <c r="J568" s="12"/>
    </row>
    <row r="569" spans="1:10" x14ac:dyDescent="0.25">
      <c r="A569" s="2"/>
      <c r="B569" s="3"/>
      <c r="C569" s="4"/>
      <c r="D569" s="5"/>
      <c r="E569" s="9"/>
      <c r="F569" s="3"/>
      <c r="G569" s="6"/>
      <c r="H569" s="7"/>
      <c r="I569" s="8"/>
      <c r="J569" s="12"/>
    </row>
    <row r="570" spans="1:10" x14ac:dyDescent="0.25">
      <c r="A570" s="2"/>
      <c r="B570" s="3"/>
      <c r="C570" s="4"/>
      <c r="D570" s="5"/>
      <c r="E570" s="9"/>
      <c r="F570" s="3"/>
      <c r="G570" s="6"/>
      <c r="H570" s="7"/>
      <c r="I570" s="8"/>
      <c r="J570" s="12"/>
    </row>
    <row r="571" spans="1:10" x14ac:dyDescent="0.25">
      <c r="A571" s="2"/>
      <c r="B571" s="3"/>
      <c r="C571" s="4"/>
      <c r="D571" s="5"/>
      <c r="E571" s="9"/>
      <c r="F571" s="3"/>
      <c r="G571" s="6"/>
      <c r="H571" s="7"/>
      <c r="I571" s="8"/>
      <c r="J571" s="12"/>
    </row>
    <row r="572" spans="1:10" x14ac:dyDescent="0.25">
      <c r="A572" s="2"/>
      <c r="B572" s="3"/>
      <c r="C572" s="4"/>
      <c r="D572" s="5"/>
      <c r="E572" s="9"/>
      <c r="F572" s="3"/>
      <c r="G572" s="6"/>
      <c r="H572" s="7"/>
      <c r="I572" s="8"/>
      <c r="J572" s="12"/>
    </row>
    <row r="573" spans="1:10" x14ac:dyDescent="0.25">
      <c r="A573" s="2"/>
      <c r="B573" s="3"/>
      <c r="C573" s="4"/>
      <c r="D573" s="5"/>
      <c r="E573" s="9"/>
      <c r="F573" s="3"/>
      <c r="G573" s="6"/>
      <c r="H573" s="7"/>
      <c r="I573" s="8"/>
      <c r="J573" s="12"/>
    </row>
    <row r="574" spans="1:10" x14ac:dyDescent="0.25">
      <c r="A574" s="2"/>
      <c r="B574" s="3"/>
      <c r="C574" s="4"/>
      <c r="D574" s="5"/>
      <c r="E574" s="9"/>
      <c r="F574" s="3"/>
      <c r="G574" s="6"/>
      <c r="H574" s="7"/>
      <c r="I574" s="8"/>
      <c r="J574" s="12"/>
    </row>
    <row r="575" spans="1:10" x14ac:dyDescent="0.25">
      <c r="A575" s="2"/>
      <c r="B575" s="3"/>
      <c r="C575" s="4"/>
      <c r="D575" s="5"/>
      <c r="E575" s="9"/>
      <c r="F575" s="3"/>
      <c r="G575" s="6"/>
      <c r="H575" s="7"/>
      <c r="I575" s="8"/>
      <c r="J575" s="12"/>
    </row>
    <row r="576" spans="1:10" x14ac:dyDescent="0.25">
      <c r="A576" s="2"/>
      <c r="B576" s="3"/>
      <c r="C576" s="4"/>
      <c r="D576" s="5"/>
      <c r="E576" s="9"/>
      <c r="F576" s="3"/>
      <c r="G576" s="6"/>
      <c r="H576" s="7"/>
      <c r="I576" s="8"/>
      <c r="J576" s="12"/>
    </row>
    <row r="577" spans="1:10" x14ac:dyDescent="0.25">
      <c r="A577" s="2"/>
      <c r="B577" s="3"/>
      <c r="C577" s="4"/>
      <c r="D577" s="5"/>
      <c r="E577" s="9"/>
      <c r="F577" s="3"/>
      <c r="G577" s="6"/>
      <c r="H577" s="7"/>
      <c r="I577" s="8"/>
      <c r="J577" s="12"/>
    </row>
    <row r="578" spans="1:10" x14ac:dyDescent="0.25">
      <c r="A578" s="2"/>
      <c r="B578" s="3"/>
      <c r="C578" s="4"/>
      <c r="D578" s="5"/>
      <c r="E578" s="9"/>
      <c r="F578" s="3"/>
      <c r="G578" s="6"/>
      <c r="H578" s="7"/>
      <c r="I578" s="8"/>
      <c r="J578" s="12"/>
    </row>
    <row r="579" spans="1:10" x14ac:dyDescent="0.25">
      <c r="A579" s="2"/>
      <c r="B579" s="3"/>
      <c r="C579" s="4"/>
      <c r="D579" s="5"/>
      <c r="E579" s="9"/>
      <c r="F579" s="3"/>
      <c r="G579" s="6"/>
      <c r="H579" s="7"/>
      <c r="I579" s="8"/>
      <c r="J579" s="12"/>
    </row>
    <row r="580" spans="1:10" x14ac:dyDescent="0.25">
      <c r="A580" s="2"/>
      <c r="B580" s="3"/>
      <c r="C580" s="4"/>
      <c r="D580" s="5"/>
      <c r="E580" s="9"/>
      <c r="F580" s="3"/>
      <c r="G580" s="6"/>
      <c r="H580" s="7"/>
      <c r="I580" s="8"/>
      <c r="J580" s="12"/>
    </row>
    <row r="581" spans="1:10" x14ac:dyDescent="0.25">
      <c r="A581" s="2"/>
      <c r="B581" s="3"/>
      <c r="C581" s="4"/>
      <c r="D581" s="5"/>
      <c r="E581" s="9"/>
      <c r="F581" s="3"/>
      <c r="G581" s="6"/>
      <c r="H581" s="7"/>
      <c r="I581" s="8"/>
      <c r="J581" s="12"/>
    </row>
    <row r="582" spans="1:10" x14ac:dyDescent="0.25">
      <c r="A582" s="2"/>
      <c r="B582" s="3"/>
      <c r="C582" s="4"/>
      <c r="D582" s="5"/>
      <c r="E582" s="9"/>
      <c r="F582" s="3"/>
      <c r="G582" s="6"/>
      <c r="H582" s="7"/>
      <c r="I582" s="8"/>
      <c r="J582" s="12"/>
    </row>
    <row r="583" spans="1:10" x14ac:dyDescent="0.25">
      <c r="A583" s="2"/>
      <c r="B583" s="3"/>
      <c r="C583" s="4"/>
      <c r="D583" s="5"/>
      <c r="E583" s="9"/>
      <c r="F583" s="3"/>
      <c r="G583" s="6"/>
      <c r="H583" s="7"/>
      <c r="I583" s="8"/>
      <c r="J583" s="12"/>
    </row>
    <row r="584" spans="1:10" x14ac:dyDescent="0.25">
      <c r="A584" s="2"/>
      <c r="B584" s="3"/>
      <c r="C584" s="4"/>
      <c r="D584" s="5"/>
      <c r="E584" s="9"/>
      <c r="F584" s="3"/>
      <c r="G584" s="6"/>
      <c r="H584" s="7"/>
      <c r="I584" s="8"/>
      <c r="J584" s="12"/>
    </row>
    <row r="585" spans="1:10" x14ac:dyDescent="0.25">
      <c r="A585" s="2"/>
      <c r="B585" s="3"/>
      <c r="C585" s="4"/>
      <c r="D585" s="5"/>
      <c r="E585" s="9"/>
      <c r="F585" s="3"/>
      <c r="G585" s="6"/>
      <c r="H585" s="7"/>
      <c r="I585" s="8"/>
      <c r="J585" s="12"/>
    </row>
    <row r="586" spans="1:10" x14ac:dyDescent="0.25">
      <c r="A586" s="2"/>
      <c r="B586" s="3"/>
      <c r="C586" s="4"/>
      <c r="D586" s="5"/>
      <c r="E586" s="9"/>
      <c r="F586" s="3"/>
      <c r="G586" s="6"/>
      <c r="H586" s="7"/>
      <c r="I586" s="8"/>
      <c r="J586" s="12"/>
    </row>
    <row r="587" spans="1:10" x14ac:dyDescent="0.25">
      <c r="A587" s="2"/>
      <c r="B587" s="3"/>
      <c r="C587" s="4"/>
      <c r="D587" s="5"/>
      <c r="E587" s="9"/>
      <c r="F587" s="3"/>
      <c r="G587" s="6"/>
      <c r="H587" s="7"/>
      <c r="I587" s="8"/>
      <c r="J587" s="12"/>
    </row>
    <row r="588" spans="1:10" x14ac:dyDescent="0.25">
      <c r="A588" s="2"/>
      <c r="B588" s="3"/>
      <c r="C588" s="4"/>
      <c r="D588" s="5"/>
      <c r="E588" s="9"/>
      <c r="F588" s="3"/>
      <c r="G588" s="6"/>
      <c r="H588" s="7"/>
      <c r="I588" s="8"/>
      <c r="J588" s="12"/>
    </row>
    <row r="589" spans="1:10" x14ac:dyDescent="0.25">
      <c r="A589" s="2"/>
      <c r="B589" s="3"/>
      <c r="C589" s="4"/>
      <c r="D589" s="5"/>
      <c r="E589" s="9"/>
      <c r="F589" s="3"/>
      <c r="G589" s="6"/>
      <c r="H589" s="7"/>
      <c r="I589" s="8"/>
      <c r="J589" s="12"/>
    </row>
    <row r="590" spans="1:10" x14ac:dyDescent="0.25">
      <c r="A590" s="2"/>
      <c r="B590" s="3"/>
      <c r="C590" s="4"/>
      <c r="D590" s="5"/>
      <c r="E590" s="9"/>
      <c r="F590" s="3"/>
      <c r="G590" s="6"/>
      <c r="H590" s="7"/>
      <c r="I590" s="8"/>
      <c r="J590" s="12"/>
    </row>
    <row r="591" spans="1:10" x14ac:dyDescent="0.25">
      <c r="A591" s="2"/>
      <c r="B591" s="3"/>
      <c r="C591" s="4"/>
      <c r="D591" s="5"/>
      <c r="E591" s="9"/>
      <c r="F591" s="3"/>
      <c r="G591" s="6"/>
      <c r="H591" s="7"/>
      <c r="I591" s="8"/>
      <c r="J591" s="12"/>
    </row>
    <row r="592" spans="1:10" x14ac:dyDescent="0.25">
      <c r="A592" s="2"/>
      <c r="B592" s="3"/>
      <c r="C592" s="4"/>
      <c r="D592" s="5"/>
      <c r="E592" s="9"/>
      <c r="F592" s="3"/>
      <c r="G592" s="6"/>
      <c r="H592" s="7"/>
      <c r="I592" s="8"/>
      <c r="J592" s="12"/>
    </row>
    <row r="593" spans="1:10" x14ac:dyDescent="0.25">
      <c r="A593" s="2"/>
      <c r="B593" s="3"/>
      <c r="C593" s="4"/>
      <c r="D593" s="5"/>
      <c r="E593" s="9"/>
      <c r="F593" s="3"/>
      <c r="G593" s="6"/>
      <c r="H593" s="7"/>
      <c r="I593" s="8"/>
      <c r="J593" s="12"/>
    </row>
    <row r="594" spans="1:10" x14ac:dyDescent="0.25">
      <c r="A594" s="2"/>
      <c r="B594" s="3"/>
      <c r="C594" s="4"/>
      <c r="D594" s="5"/>
      <c r="E594" s="9"/>
      <c r="F594" s="3"/>
      <c r="G594" s="6"/>
      <c r="H594" s="7"/>
      <c r="I594" s="8"/>
      <c r="J594" s="12"/>
    </row>
    <row r="595" spans="1:10" x14ac:dyDescent="0.25">
      <c r="A595" s="2"/>
      <c r="B595" s="3"/>
      <c r="C595" s="4"/>
      <c r="D595" s="5"/>
      <c r="E595" s="9"/>
      <c r="F595" s="3"/>
      <c r="G595" s="6"/>
      <c r="H595" s="7"/>
      <c r="I595" s="8"/>
      <c r="J595" s="12"/>
    </row>
    <row r="596" spans="1:10" x14ac:dyDescent="0.25">
      <c r="A596" s="2"/>
      <c r="B596" s="3"/>
      <c r="C596" s="4"/>
      <c r="D596" s="5"/>
      <c r="E596" s="9"/>
      <c r="F596" s="3"/>
      <c r="G596" s="6"/>
      <c r="H596" s="7"/>
      <c r="I596" s="8"/>
      <c r="J596" s="12"/>
    </row>
    <row r="597" spans="1:10" x14ac:dyDescent="0.25">
      <c r="A597" s="2"/>
      <c r="B597" s="3"/>
      <c r="C597" s="4"/>
      <c r="D597" s="5"/>
      <c r="E597" s="9"/>
      <c r="F597" s="3"/>
      <c r="G597" s="6"/>
      <c r="H597" s="7"/>
      <c r="I597" s="8"/>
      <c r="J597" s="12"/>
    </row>
    <row r="598" spans="1:10" x14ac:dyDescent="0.25">
      <c r="A598" s="2"/>
      <c r="B598" s="3"/>
      <c r="C598" s="4"/>
      <c r="D598" s="5"/>
      <c r="E598" s="9"/>
      <c r="F598" s="3"/>
      <c r="G598" s="6"/>
      <c r="H598" s="7"/>
      <c r="I598" s="8"/>
      <c r="J598" s="12"/>
    </row>
    <row r="599" spans="1:10" x14ac:dyDescent="0.25">
      <c r="A599" s="2"/>
      <c r="B599" s="3"/>
      <c r="C599" s="4"/>
      <c r="D599" s="5"/>
      <c r="E599" s="9"/>
      <c r="F599" s="3"/>
      <c r="G599" s="6"/>
      <c r="H599" s="7"/>
      <c r="I599" s="8"/>
      <c r="J599" s="12"/>
    </row>
    <row r="600" spans="1:10" x14ac:dyDescent="0.25">
      <c r="A600" s="2"/>
      <c r="B600" s="3"/>
      <c r="C600" s="4"/>
      <c r="D600" s="5"/>
      <c r="E600" s="9"/>
      <c r="F600" s="3"/>
      <c r="G600" s="6"/>
      <c r="H600" s="7"/>
      <c r="I600" s="8"/>
      <c r="J600" s="12"/>
    </row>
    <row r="601" spans="1:10" x14ac:dyDescent="0.25">
      <c r="A601" s="2"/>
      <c r="B601" s="3"/>
      <c r="C601" s="4"/>
      <c r="D601" s="5"/>
      <c r="E601" s="9"/>
      <c r="F601" s="3"/>
      <c r="G601" s="6"/>
      <c r="H601" s="7"/>
      <c r="I601" s="8"/>
      <c r="J601" s="12"/>
    </row>
    <row r="602" spans="1:10" x14ac:dyDescent="0.25">
      <c r="A602" s="2"/>
      <c r="B602" s="3"/>
      <c r="C602" s="4"/>
      <c r="D602" s="5"/>
      <c r="E602" s="9"/>
      <c r="F602" s="3"/>
      <c r="G602" s="6"/>
      <c r="H602" s="7"/>
      <c r="I602" s="8"/>
      <c r="J602" s="12"/>
    </row>
    <row r="603" spans="1:10" x14ac:dyDescent="0.25">
      <c r="A603" s="2"/>
      <c r="B603" s="3"/>
      <c r="C603" s="4"/>
      <c r="D603" s="5"/>
      <c r="E603" s="9"/>
      <c r="F603" s="3"/>
      <c r="G603" s="6"/>
      <c r="H603" s="7"/>
      <c r="I603" s="8"/>
      <c r="J603" s="12"/>
    </row>
    <row r="604" spans="1:10" x14ac:dyDescent="0.25">
      <c r="A604" s="2"/>
      <c r="B604" s="3"/>
      <c r="C604" s="4"/>
      <c r="D604" s="5"/>
      <c r="E604" s="9"/>
      <c r="F604" s="3"/>
      <c r="G604" s="6"/>
      <c r="H604" s="7"/>
      <c r="I604" s="8"/>
      <c r="J604" s="12"/>
    </row>
    <row r="605" spans="1:10" x14ac:dyDescent="0.25">
      <c r="A605" s="2"/>
      <c r="B605" s="3"/>
      <c r="C605" s="4"/>
      <c r="D605" s="5"/>
      <c r="E605" s="9"/>
      <c r="F605" s="3"/>
      <c r="G605" s="6"/>
      <c r="H605" s="7"/>
      <c r="I605" s="8"/>
      <c r="J605" s="12"/>
    </row>
    <row r="606" spans="1:10" x14ac:dyDescent="0.25">
      <c r="A606" s="2"/>
      <c r="B606" s="3"/>
      <c r="C606" s="4"/>
      <c r="D606" s="5"/>
      <c r="E606" s="9"/>
      <c r="F606" s="3"/>
      <c r="G606" s="6"/>
      <c r="H606" s="7"/>
      <c r="I606" s="8"/>
      <c r="J606" s="12"/>
    </row>
    <row r="607" spans="1:10" x14ac:dyDescent="0.25">
      <c r="A607" s="2"/>
      <c r="B607" s="3"/>
      <c r="C607" s="4"/>
      <c r="D607" s="5"/>
      <c r="E607" s="9"/>
      <c r="F607" s="3"/>
      <c r="G607" s="6"/>
      <c r="H607" s="7"/>
      <c r="I607" s="8"/>
      <c r="J607" s="12"/>
    </row>
    <row r="608" spans="1:10" x14ac:dyDescent="0.25">
      <c r="A608" s="2"/>
      <c r="B608" s="3"/>
      <c r="C608" s="4"/>
      <c r="D608" s="5"/>
      <c r="E608" s="9"/>
      <c r="F608" s="3"/>
      <c r="G608" s="6"/>
      <c r="H608" s="7"/>
      <c r="I608" s="8"/>
      <c r="J608" s="12"/>
    </row>
    <row r="609" spans="1:10" x14ac:dyDescent="0.25">
      <c r="A609" s="2"/>
      <c r="B609" s="3"/>
      <c r="C609" s="4"/>
      <c r="D609" s="5"/>
      <c r="E609" s="9"/>
      <c r="F609" s="3"/>
      <c r="G609" s="6"/>
      <c r="H609" s="7"/>
      <c r="I609" s="8"/>
      <c r="J609" s="12"/>
    </row>
    <row r="610" spans="1:10" x14ac:dyDescent="0.25">
      <c r="A610" s="2"/>
      <c r="B610" s="3"/>
      <c r="C610" s="4"/>
      <c r="D610" s="5"/>
      <c r="E610" s="9"/>
      <c r="F610" s="3"/>
      <c r="G610" s="6"/>
      <c r="H610" s="7"/>
      <c r="I610" s="8"/>
      <c r="J610" s="12"/>
    </row>
    <row r="611" spans="1:10" x14ac:dyDescent="0.25">
      <c r="A611" s="2"/>
      <c r="B611" s="3"/>
      <c r="C611" s="4"/>
      <c r="D611" s="5"/>
      <c r="E611" s="9"/>
      <c r="F611" s="3"/>
      <c r="G611" s="6"/>
      <c r="H611" s="7"/>
      <c r="I611" s="8"/>
      <c r="J611" s="12"/>
    </row>
    <row r="612" spans="1:10" x14ac:dyDescent="0.25">
      <c r="A612" s="2"/>
      <c r="B612" s="3"/>
      <c r="C612" s="4"/>
      <c r="D612" s="5"/>
      <c r="E612" s="9"/>
      <c r="F612" s="3"/>
      <c r="G612" s="6"/>
      <c r="H612" s="7"/>
      <c r="I612" s="8"/>
      <c r="J612" s="12"/>
    </row>
    <row r="613" spans="1:10" x14ac:dyDescent="0.25">
      <c r="A613" s="2"/>
      <c r="B613" s="3"/>
      <c r="C613" s="4"/>
      <c r="D613" s="5"/>
      <c r="E613" s="9"/>
      <c r="F613" s="3"/>
      <c r="G613" s="6"/>
      <c r="H613" s="7"/>
      <c r="I613" s="8"/>
      <c r="J613" s="12"/>
    </row>
    <row r="614" spans="1:10" x14ac:dyDescent="0.25">
      <c r="A614" s="2"/>
      <c r="B614" s="3"/>
      <c r="C614" s="4"/>
      <c r="D614" s="5"/>
      <c r="E614" s="9"/>
      <c r="F614" s="3"/>
      <c r="G614" s="6"/>
      <c r="H614" s="7"/>
      <c r="I614" s="8"/>
      <c r="J614" s="12"/>
    </row>
    <row r="615" spans="1:10" x14ac:dyDescent="0.25">
      <c r="A615" s="2"/>
      <c r="B615" s="3"/>
      <c r="C615" s="4"/>
      <c r="D615" s="5"/>
      <c r="E615" s="9"/>
      <c r="F615" s="3"/>
      <c r="G615" s="6"/>
      <c r="H615" s="7"/>
      <c r="I615" s="8"/>
      <c r="J615" s="12"/>
    </row>
    <row r="616" spans="1:10" x14ac:dyDescent="0.25">
      <c r="A616" s="2"/>
      <c r="B616" s="3"/>
      <c r="C616" s="4"/>
      <c r="D616" s="5"/>
      <c r="E616" s="9"/>
      <c r="F616" s="3"/>
      <c r="G616" s="6"/>
      <c r="H616" s="7"/>
      <c r="I616" s="8"/>
      <c r="J616" s="12"/>
    </row>
    <row r="617" spans="1:10" x14ac:dyDescent="0.25">
      <c r="A617" s="2"/>
      <c r="B617" s="3"/>
      <c r="C617" s="4"/>
      <c r="D617" s="5"/>
      <c r="E617" s="9"/>
      <c r="F617" s="3"/>
      <c r="G617" s="6"/>
      <c r="H617" s="7"/>
      <c r="I617" s="8"/>
      <c r="J617" s="12"/>
    </row>
    <row r="618" spans="1:10" x14ac:dyDescent="0.25">
      <c r="A618" s="2"/>
      <c r="B618" s="3"/>
      <c r="C618" s="4"/>
      <c r="D618" s="5"/>
      <c r="E618" s="9"/>
      <c r="F618" s="3"/>
      <c r="G618" s="6"/>
      <c r="H618" s="7"/>
      <c r="I618" s="8"/>
      <c r="J618" s="12"/>
    </row>
    <row r="619" spans="1:10" x14ac:dyDescent="0.25">
      <c r="A619" s="2"/>
      <c r="B619" s="3"/>
      <c r="C619" s="4"/>
      <c r="D619" s="5"/>
      <c r="E619" s="9"/>
      <c r="F619" s="3"/>
      <c r="G619" s="6"/>
      <c r="H619" s="7"/>
      <c r="I619" s="8"/>
      <c r="J619" s="12"/>
    </row>
    <row r="620" spans="1:10" x14ac:dyDescent="0.25">
      <c r="A620" s="2"/>
      <c r="B620" s="3"/>
      <c r="C620" s="4"/>
      <c r="D620" s="5"/>
      <c r="E620" s="9"/>
      <c r="F620" s="3"/>
      <c r="G620" s="6"/>
      <c r="H620" s="7"/>
      <c r="I620" s="8"/>
      <c r="J620" s="12"/>
    </row>
    <row r="621" spans="1:10" x14ac:dyDescent="0.25">
      <c r="A621" s="2"/>
      <c r="B621" s="3"/>
      <c r="C621" s="4"/>
      <c r="D621" s="5"/>
      <c r="E621" s="9"/>
      <c r="F621" s="3"/>
      <c r="G621" s="6"/>
      <c r="H621" s="7"/>
      <c r="I621" s="8"/>
      <c r="J621" s="12"/>
    </row>
    <row r="622" spans="1:10" x14ac:dyDescent="0.25">
      <c r="A622" s="2"/>
      <c r="B622" s="3"/>
      <c r="C622" s="4"/>
      <c r="D622" s="5"/>
      <c r="E622" s="9"/>
      <c r="F622" s="3"/>
      <c r="G622" s="6"/>
      <c r="H622" s="7"/>
      <c r="I622" s="8"/>
      <c r="J622" s="12"/>
    </row>
    <row r="623" spans="1:10" x14ac:dyDescent="0.25">
      <c r="A623" s="2"/>
      <c r="B623" s="3"/>
      <c r="C623" s="4"/>
      <c r="D623" s="5"/>
      <c r="E623" s="9"/>
      <c r="F623" s="3"/>
      <c r="G623" s="6"/>
      <c r="H623" s="7"/>
      <c r="I623" s="8"/>
      <c r="J623" s="12"/>
    </row>
    <row r="624" spans="1:10" x14ac:dyDescent="0.25">
      <c r="A624" s="2"/>
      <c r="B624" s="3"/>
      <c r="C624" s="4"/>
      <c r="D624" s="5"/>
      <c r="E624" s="9"/>
      <c r="F624" s="3"/>
      <c r="G624" s="6"/>
      <c r="H624" s="7"/>
      <c r="I624" s="8"/>
      <c r="J624" s="12"/>
    </row>
    <row r="625" spans="1:10" x14ac:dyDescent="0.25">
      <c r="A625" s="2"/>
      <c r="B625" s="3"/>
      <c r="C625" s="4"/>
      <c r="D625" s="5"/>
      <c r="E625" s="9"/>
      <c r="F625" s="3"/>
      <c r="G625" s="6"/>
      <c r="H625" s="7"/>
      <c r="I625" s="8"/>
      <c r="J625" s="12"/>
    </row>
    <row r="626" spans="1:10" x14ac:dyDescent="0.25">
      <c r="A626" s="2"/>
      <c r="B626" s="3"/>
      <c r="C626" s="4"/>
      <c r="D626" s="5"/>
      <c r="E626" s="9"/>
      <c r="F626" s="3"/>
      <c r="G626" s="6"/>
      <c r="H626" s="7"/>
      <c r="I626" s="8"/>
      <c r="J626" s="12"/>
    </row>
    <row r="627" spans="1:10" x14ac:dyDescent="0.25">
      <c r="A627" s="2"/>
      <c r="B627" s="3"/>
      <c r="C627" s="4"/>
      <c r="D627" s="5"/>
      <c r="E627" s="9"/>
      <c r="F627" s="3"/>
      <c r="G627" s="6"/>
      <c r="H627" s="7"/>
      <c r="I627" s="8"/>
      <c r="J627" s="12"/>
    </row>
    <row r="628" spans="1:10" x14ac:dyDescent="0.25">
      <c r="A628" s="2"/>
      <c r="B628" s="3"/>
      <c r="C628" s="4"/>
      <c r="D628" s="5"/>
      <c r="E628" s="9"/>
      <c r="F628" s="3"/>
      <c r="G628" s="6"/>
      <c r="H628" s="7"/>
      <c r="I628" s="8"/>
      <c r="J628" s="12"/>
    </row>
    <row r="629" spans="1:10" x14ac:dyDescent="0.25">
      <c r="A629" s="2"/>
      <c r="B629" s="3"/>
      <c r="C629" s="4"/>
      <c r="D629" s="5"/>
      <c r="E629" s="9"/>
      <c r="F629" s="3"/>
      <c r="G629" s="6"/>
      <c r="H629" s="7"/>
      <c r="I629" s="8"/>
      <c r="J629" s="12"/>
    </row>
    <row r="630" spans="1:10" x14ac:dyDescent="0.25">
      <c r="A630" s="2"/>
      <c r="B630" s="3"/>
      <c r="C630" s="4"/>
      <c r="D630" s="5"/>
      <c r="E630" s="9"/>
      <c r="F630" s="3"/>
      <c r="G630" s="6"/>
      <c r="H630" s="7"/>
      <c r="I630" s="8"/>
      <c r="J630" s="12"/>
    </row>
    <row r="631" spans="1:10" x14ac:dyDescent="0.25">
      <c r="A631" s="2"/>
      <c r="B631" s="3"/>
      <c r="C631" s="4"/>
      <c r="D631" s="5"/>
      <c r="E631" s="9"/>
      <c r="F631" s="3"/>
      <c r="G631" s="6"/>
      <c r="H631" s="7"/>
      <c r="I631" s="8"/>
      <c r="J631" s="12"/>
    </row>
    <row r="632" spans="1:10" x14ac:dyDescent="0.25">
      <c r="A632" s="2"/>
      <c r="B632" s="3"/>
      <c r="C632" s="4"/>
      <c r="D632" s="5"/>
      <c r="E632" s="9"/>
      <c r="F632" s="3"/>
      <c r="G632" s="6"/>
      <c r="H632" s="7"/>
      <c r="I632" s="8"/>
      <c r="J632" s="12"/>
    </row>
    <row r="633" spans="1:10" x14ac:dyDescent="0.25">
      <c r="A633" s="2"/>
      <c r="B633" s="3"/>
      <c r="C633" s="4"/>
      <c r="D633" s="5"/>
      <c r="E633" s="9"/>
      <c r="F633" s="3"/>
      <c r="G633" s="6"/>
      <c r="H633" s="7"/>
      <c r="I633" s="8"/>
      <c r="J633" s="12"/>
    </row>
    <row r="634" spans="1:10" x14ac:dyDescent="0.25">
      <c r="A634" s="2"/>
      <c r="B634" s="3"/>
      <c r="C634" s="4"/>
      <c r="D634" s="5"/>
      <c r="E634" s="9"/>
      <c r="F634" s="3"/>
      <c r="G634" s="6"/>
      <c r="H634" s="7"/>
      <c r="I634" s="8"/>
      <c r="J634" s="12"/>
    </row>
    <row r="635" spans="1:10" x14ac:dyDescent="0.25">
      <c r="A635" s="2"/>
      <c r="B635" s="3"/>
      <c r="C635" s="4"/>
      <c r="D635" s="5"/>
      <c r="E635" s="9"/>
      <c r="F635" s="3"/>
      <c r="G635" s="6"/>
      <c r="H635" s="7"/>
      <c r="I635" s="8"/>
      <c r="J635" s="12"/>
    </row>
    <row r="636" spans="1:10" x14ac:dyDescent="0.25">
      <c r="A636" s="2"/>
      <c r="B636" s="3"/>
      <c r="C636" s="4"/>
      <c r="D636" s="5"/>
      <c r="E636" s="9"/>
      <c r="F636" s="3"/>
      <c r="G636" s="6"/>
      <c r="H636" s="7"/>
      <c r="I636" s="8"/>
      <c r="J636" s="12"/>
    </row>
    <row r="637" spans="1:10" x14ac:dyDescent="0.25">
      <c r="A637" s="2"/>
      <c r="B637" s="3"/>
      <c r="C637" s="4"/>
      <c r="D637" s="5"/>
      <c r="E637" s="9"/>
      <c r="F637" s="3"/>
      <c r="G637" s="6"/>
      <c r="H637" s="7"/>
      <c r="I637" s="8"/>
      <c r="J637" s="12"/>
    </row>
    <row r="638" spans="1:10" x14ac:dyDescent="0.25">
      <c r="A638" s="2"/>
      <c r="B638" s="3"/>
      <c r="C638" s="4"/>
      <c r="D638" s="5"/>
      <c r="E638" s="9"/>
      <c r="F638" s="3"/>
      <c r="G638" s="6"/>
      <c r="H638" s="7"/>
      <c r="I638" s="8"/>
      <c r="J638" s="12"/>
    </row>
    <row r="639" spans="1:10" x14ac:dyDescent="0.25">
      <c r="A639" s="2"/>
      <c r="B639" s="3"/>
      <c r="C639" s="4"/>
      <c r="D639" s="5"/>
      <c r="E639" s="9"/>
      <c r="F639" s="3"/>
      <c r="G639" s="6"/>
      <c r="H639" s="7"/>
      <c r="I639" s="8"/>
      <c r="J639" s="12"/>
    </row>
    <row r="640" spans="1:10" x14ac:dyDescent="0.25">
      <c r="A640" s="2"/>
      <c r="B640" s="3"/>
      <c r="C640" s="4"/>
      <c r="D640" s="5"/>
      <c r="E640" s="9"/>
      <c r="F640" s="3"/>
      <c r="G640" s="6"/>
      <c r="H640" s="7"/>
      <c r="I640" s="8"/>
      <c r="J640" s="12"/>
    </row>
    <row r="641" spans="1:10" x14ac:dyDescent="0.25">
      <c r="A641" s="2"/>
      <c r="B641" s="3"/>
      <c r="C641" s="4"/>
      <c r="D641" s="5"/>
      <c r="E641" s="9"/>
      <c r="F641" s="3"/>
      <c r="G641" s="6"/>
      <c r="H641" s="7"/>
      <c r="I641" s="8"/>
      <c r="J641" s="12"/>
    </row>
    <row r="642" spans="1:10" x14ac:dyDescent="0.25">
      <c r="A642" s="2"/>
      <c r="B642" s="3"/>
      <c r="C642" s="4"/>
      <c r="D642" s="5"/>
      <c r="E642" s="9"/>
      <c r="F642" s="3"/>
      <c r="G642" s="6"/>
      <c r="H642" s="7"/>
      <c r="I642" s="8"/>
      <c r="J642" s="12"/>
    </row>
    <row r="643" spans="1:10" x14ac:dyDescent="0.25">
      <c r="A643" s="2"/>
      <c r="B643" s="3"/>
      <c r="C643" s="4"/>
      <c r="D643" s="5"/>
      <c r="E643" s="9"/>
      <c r="F643" s="3"/>
      <c r="G643" s="6"/>
      <c r="H643" s="7"/>
      <c r="I643" s="8"/>
      <c r="J643" s="12"/>
    </row>
    <row r="644" spans="1:10" x14ac:dyDescent="0.25">
      <c r="A644" s="2"/>
      <c r="B644" s="3"/>
      <c r="C644" s="4"/>
      <c r="D644" s="5"/>
      <c r="E644" s="9"/>
      <c r="F644" s="3"/>
      <c r="G644" s="6"/>
      <c r="H644" s="7"/>
      <c r="I644" s="8"/>
      <c r="J644" s="12"/>
    </row>
    <row r="645" spans="1:10" x14ac:dyDescent="0.25">
      <c r="A645" s="2"/>
      <c r="B645" s="3"/>
      <c r="C645" s="4"/>
      <c r="D645" s="5"/>
      <c r="E645" s="9"/>
      <c r="F645" s="3"/>
      <c r="G645" s="6"/>
      <c r="H645" s="7"/>
      <c r="I645" s="8"/>
      <c r="J645" s="12"/>
    </row>
    <row r="646" spans="1:10" x14ac:dyDescent="0.25">
      <c r="A646" s="2"/>
      <c r="B646" s="3"/>
      <c r="C646" s="4"/>
      <c r="D646" s="5"/>
      <c r="E646" s="9"/>
      <c r="F646" s="3"/>
      <c r="G646" s="6"/>
      <c r="H646" s="7"/>
      <c r="I646" s="8"/>
      <c r="J646" s="12"/>
    </row>
    <row r="647" spans="1:10" x14ac:dyDescent="0.25">
      <c r="A647" s="2"/>
      <c r="B647" s="3"/>
      <c r="C647" s="4"/>
      <c r="D647" s="5"/>
      <c r="E647" s="9"/>
      <c r="F647" s="3"/>
      <c r="G647" s="6"/>
      <c r="H647" s="7"/>
      <c r="I647" s="8"/>
      <c r="J647" s="12"/>
    </row>
    <row r="648" spans="1:10" x14ac:dyDescent="0.25">
      <c r="A648" s="2"/>
      <c r="B648" s="3"/>
      <c r="C648" s="4"/>
      <c r="D648" s="5"/>
      <c r="E648" s="9"/>
      <c r="F648" s="3"/>
      <c r="G648" s="6"/>
      <c r="H648" s="7"/>
      <c r="I648" s="8"/>
      <c r="J648" s="12"/>
    </row>
    <row r="649" spans="1:10" x14ac:dyDescent="0.25">
      <c r="A649" s="2"/>
      <c r="B649" s="3"/>
      <c r="C649" s="4"/>
      <c r="D649" s="5"/>
      <c r="E649" s="9"/>
      <c r="F649" s="3"/>
      <c r="G649" s="6"/>
      <c r="H649" s="7"/>
      <c r="I649" s="8"/>
      <c r="J649" s="12"/>
    </row>
    <row r="650" spans="1:10" x14ac:dyDescent="0.25">
      <c r="A650" s="2"/>
      <c r="B650" s="3"/>
      <c r="C650" s="4"/>
      <c r="D650" s="5"/>
      <c r="E650" s="9"/>
      <c r="F650" s="3"/>
      <c r="G650" s="6"/>
      <c r="H650" s="7"/>
      <c r="I650" s="8"/>
      <c r="J650" s="12"/>
    </row>
    <row r="651" spans="1:10" x14ac:dyDescent="0.25">
      <c r="A651" s="2"/>
      <c r="B651" s="3"/>
      <c r="C651" s="4"/>
      <c r="D651" s="5"/>
      <c r="E651" s="9"/>
      <c r="F651" s="3"/>
      <c r="G651" s="6"/>
      <c r="H651" s="7"/>
      <c r="I651" s="8"/>
      <c r="J651" s="12"/>
    </row>
    <row r="652" spans="1:10" x14ac:dyDescent="0.25">
      <c r="A652" s="2"/>
      <c r="B652" s="3"/>
      <c r="C652" s="4"/>
      <c r="D652" s="5"/>
      <c r="E652" s="9"/>
      <c r="F652" s="3"/>
      <c r="G652" s="6"/>
      <c r="H652" s="7"/>
      <c r="I652" s="8"/>
      <c r="J652" s="12"/>
    </row>
    <row r="653" spans="1:10" x14ac:dyDescent="0.25">
      <c r="A653" s="2"/>
      <c r="B653" s="3"/>
      <c r="C653" s="4"/>
      <c r="D653" s="5"/>
      <c r="E653" s="9"/>
      <c r="F653" s="3"/>
      <c r="G653" s="6"/>
      <c r="H653" s="7"/>
      <c r="I653" s="8"/>
      <c r="J653" s="12"/>
    </row>
    <row r="654" spans="1:10" x14ac:dyDescent="0.25">
      <c r="A654" s="2"/>
      <c r="B654" s="3"/>
      <c r="C654" s="4"/>
      <c r="D654" s="5"/>
      <c r="E654" s="9"/>
      <c r="F654" s="3"/>
      <c r="G654" s="6"/>
      <c r="H654" s="7"/>
      <c r="I654" s="8"/>
      <c r="J654" s="12"/>
    </row>
    <row r="655" spans="1:10" x14ac:dyDescent="0.25">
      <c r="A655" s="2"/>
      <c r="B655" s="3"/>
      <c r="C655" s="4"/>
      <c r="D655" s="5"/>
      <c r="E655" s="9"/>
      <c r="F655" s="3"/>
      <c r="G655" s="6"/>
      <c r="H655" s="7"/>
      <c r="I655" s="8"/>
      <c r="J655" s="12"/>
    </row>
    <row r="656" spans="1:10" x14ac:dyDescent="0.25">
      <c r="A656" s="2"/>
      <c r="B656" s="3"/>
      <c r="C656" s="4"/>
      <c r="D656" s="5"/>
      <c r="E656" s="9"/>
      <c r="F656" s="3"/>
      <c r="G656" s="6"/>
      <c r="H656" s="7"/>
      <c r="I656" s="8"/>
      <c r="J656" s="12"/>
    </row>
    <row r="657" spans="1:10" x14ac:dyDescent="0.25">
      <c r="A657" s="2"/>
      <c r="B657" s="3"/>
      <c r="C657" s="4"/>
      <c r="D657" s="5"/>
      <c r="E657" s="9"/>
      <c r="F657" s="3"/>
      <c r="G657" s="6"/>
      <c r="H657" s="7"/>
      <c r="I657" s="8"/>
      <c r="J657" s="12"/>
    </row>
    <row r="658" spans="1:10" x14ac:dyDescent="0.25">
      <c r="A658" s="2"/>
      <c r="B658" s="3"/>
      <c r="C658" s="4"/>
      <c r="D658" s="5"/>
      <c r="E658" s="9"/>
      <c r="F658" s="3"/>
      <c r="G658" s="6"/>
      <c r="H658" s="7"/>
      <c r="I658" s="8"/>
      <c r="J658" s="12"/>
    </row>
    <row r="659" spans="1:10" x14ac:dyDescent="0.25">
      <c r="A659" s="2"/>
      <c r="B659" s="3"/>
      <c r="C659" s="4"/>
      <c r="D659" s="5"/>
      <c r="E659" s="9"/>
      <c r="F659" s="3"/>
      <c r="G659" s="6"/>
      <c r="H659" s="7"/>
      <c r="I659" s="8"/>
      <c r="J659" s="12"/>
    </row>
    <row r="660" spans="1:10" x14ac:dyDescent="0.25">
      <c r="A660" s="2"/>
      <c r="B660" s="3"/>
      <c r="C660" s="4"/>
      <c r="D660" s="5"/>
      <c r="E660" s="9"/>
      <c r="F660" s="3"/>
      <c r="G660" s="6"/>
      <c r="H660" s="7"/>
      <c r="I660" s="8"/>
      <c r="J660" s="12"/>
    </row>
    <row r="661" spans="1:10" x14ac:dyDescent="0.25">
      <c r="A661" s="2"/>
      <c r="B661" s="3"/>
      <c r="C661" s="4"/>
      <c r="D661" s="5"/>
      <c r="E661" s="9"/>
      <c r="F661" s="3"/>
      <c r="G661" s="6"/>
      <c r="H661" s="7"/>
      <c r="I661" s="8"/>
      <c r="J661" s="12"/>
    </row>
    <row r="662" spans="1:10" x14ac:dyDescent="0.25">
      <c r="A662" s="2"/>
      <c r="B662" s="3"/>
      <c r="C662" s="4"/>
      <c r="D662" s="5"/>
      <c r="E662" s="9"/>
      <c r="F662" s="3"/>
      <c r="G662" s="6"/>
      <c r="H662" s="7"/>
      <c r="I662" s="8"/>
      <c r="J662" s="12"/>
    </row>
    <row r="663" spans="1:10" x14ac:dyDescent="0.25">
      <c r="A663" s="2"/>
      <c r="B663" s="3"/>
      <c r="C663" s="4"/>
      <c r="D663" s="5"/>
      <c r="E663" s="9"/>
      <c r="F663" s="3"/>
      <c r="G663" s="6"/>
      <c r="H663" s="7"/>
      <c r="I663" s="8"/>
      <c r="J663" s="12"/>
    </row>
    <row r="664" spans="1:10" x14ac:dyDescent="0.25">
      <c r="A664" s="2"/>
      <c r="B664" s="3"/>
      <c r="C664" s="4"/>
      <c r="D664" s="5"/>
      <c r="E664" s="9"/>
      <c r="F664" s="3"/>
      <c r="G664" s="6"/>
      <c r="H664" s="7"/>
      <c r="I664" s="8"/>
      <c r="J664" s="12"/>
    </row>
    <row r="665" spans="1:10" x14ac:dyDescent="0.25">
      <c r="A665" s="2"/>
      <c r="B665" s="3"/>
      <c r="C665" s="4"/>
      <c r="D665" s="5"/>
      <c r="E665" s="9"/>
      <c r="F665" s="3"/>
      <c r="G665" s="6"/>
      <c r="H665" s="7"/>
      <c r="I665" s="8"/>
      <c r="J665" s="12"/>
    </row>
    <row r="666" spans="1:10" x14ac:dyDescent="0.25">
      <c r="A666" s="2"/>
      <c r="B666" s="3"/>
      <c r="C666" s="4"/>
      <c r="D666" s="5"/>
      <c r="E666" s="9"/>
      <c r="F666" s="3"/>
      <c r="G666" s="6"/>
      <c r="H666" s="7"/>
      <c r="I666" s="8"/>
      <c r="J666" s="12"/>
    </row>
    <row r="667" spans="1:10" x14ac:dyDescent="0.25">
      <c r="A667" s="2"/>
      <c r="B667" s="3"/>
      <c r="C667" s="4"/>
      <c r="D667" s="5"/>
      <c r="E667" s="9"/>
      <c r="F667" s="3"/>
      <c r="G667" s="6"/>
      <c r="H667" s="7"/>
      <c r="I667" s="8"/>
      <c r="J667" s="12"/>
    </row>
    <row r="668" spans="1:10" x14ac:dyDescent="0.25">
      <c r="A668" s="2"/>
      <c r="B668" s="3"/>
      <c r="C668" s="4"/>
      <c r="D668" s="5"/>
      <c r="E668" s="9"/>
      <c r="F668" s="3"/>
      <c r="G668" s="6"/>
      <c r="H668" s="7"/>
      <c r="I668" s="8"/>
      <c r="J668" s="12"/>
    </row>
    <row r="669" spans="1:10" x14ac:dyDescent="0.25">
      <c r="A669" s="2"/>
      <c r="B669" s="3"/>
      <c r="C669" s="4"/>
      <c r="D669" s="5"/>
      <c r="E669" s="9"/>
      <c r="F669" s="3"/>
      <c r="G669" s="6"/>
      <c r="H669" s="7"/>
      <c r="I669" s="8"/>
      <c r="J669" s="12"/>
    </row>
    <row r="670" spans="1:10" x14ac:dyDescent="0.25">
      <c r="A670" s="2"/>
      <c r="B670" s="3"/>
      <c r="C670" s="4"/>
      <c r="D670" s="5"/>
      <c r="E670" s="9"/>
      <c r="F670" s="3"/>
      <c r="G670" s="6"/>
      <c r="H670" s="7"/>
      <c r="I670" s="8"/>
      <c r="J670" s="12"/>
    </row>
    <row r="671" spans="1:10" x14ac:dyDescent="0.25">
      <c r="A671" s="2"/>
      <c r="B671" s="3"/>
      <c r="C671" s="4"/>
      <c r="D671" s="5"/>
      <c r="E671" s="9"/>
      <c r="F671" s="3"/>
      <c r="G671" s="6"/>
      <c r="H671" s="7"/>
      <c r="I671" s="8"/>
      <c r="J671" s="12"/>
    </row>
    <row r="672" spans="1:10" x14ac:dyDescent="0.25">
      <c r="A672" s="2"/>
      <c r="B672" s="3"/>
      <c r="C672" s="4"/>
      <c r="D672" s="5"/>
      <c r="E672" s="9"/>
      <c r="F672" s="3"/>
      <c r="G672" s="6"/>
      <c r="H672" s="7"/>
      <c r="I672" s="8"/>
      <c r="J672" s="12"/>
    </row>
    <row r="673" spans="1:10" x14ac:dyDescent="0.25">
      <c r="A673" s="2"/>
      <c r="B673" s="3"/>
      <c r="C673" s="4"/>
      <c r="D673" s="5"/>
      <c r="E673" s="9"/>
      <c r="F673" s="3"/>
      <c r="G673" s="6"/>
      <c r="H673" s="7"/>
      <c r="I673" s="8"/>
      <c r="J673" s="12"/>
    </row>
    <row r="674" spans="1:10" x14ac:dyDescent="0.25">
      <c r="A674" s="2"/>
      <c r="B674" s="3"/>
      <c r="C674" s="4"/>
      <c r="D674" s="5"/>
      <c r="E674" s="9"/>
      <c r="F674" s="3"/>
      <c r="G674" s="6"/>
      <c r="H674" s="7"/>
      <c r="I674" s="8"/>
      <c r="J674" s="12"/>
    </row>
    <row r="675" spans="1:10" x14ac:dyDescent="0.25">
      <c r="A675" s="2"/>
      <c r="B675" s="3"/>
      <c r="C675" s="4"/>
      <c r="D675" s="5"/>
      <c r="E675" s="9"/>
      <c r="F675" s="3"/>
      <c r="G675" s="6"/>
      <c r="H675" s="7"/>
      <c r="I675" s="8"/>
      <c r="J675" s="12"/>
    </row>
    <row r="676" spans="1:10" x14ac:dyDescent="0.25">
      <c r="A676" s="2"/>
      <c r="B676" s="3"/>
      <c r="C676" s="4"/>
      <c r="D676" s="5"/>
      <c r="E676" s="9"/>
      <c r="F676" s="3"/>
      <c r="G676" s="6"/>
      <c r="H676" s="7"/>
      <c r="I676" s="8"/>
      <c r="J676" s="12"/>
    </row>
    <row r="677" spans="1:10" x14ac:dyDescent="0.25">
      <c r="A677" s="2"/>
      <c r="B677" s="3"/>
      <c r="C677" s="4"/>
      <c r="D677" s="5"/>
      <c r="E677" s="9"/>
      <c r="F677" s="3"/>
      <c r="G677" s="6"/>
      <c r="H677" s="7"/>
      <c r="I677" s="8"/>
      <c r="J677" s="12"/>
    </row>
    <row r="678" spans="1:10" x14ac:dyDescent="0.25">
      <c r="A678" s="2"/>
      <c r="B678" s="3"/>
      <c r="C678" s="4"/>
      <c r="D678" s="5"/>
      <c r="E678" s="9"/>
      <c r="F678" s="3"/>
      <c r="G678" s="6"/>
      <c r="H678" s="7"/>
      <c r="I678" s="8"/>
      <c r="J678" s="12"/>
    </row>
    <row r="679" spans="1:10" x14ac:dyDescent="0.25">
      <c r="A679" s="2"/>
      <c r="B679" s="3"/>
      <c r="C679" s="4"/>
      <c r="D679" s="5"/>
      <c r="E679" s="9"/>
      <c r="F679" s="3"/>
      <c r="G679" s="6"/>
      <c r="H679" s="7"/>
      <c r="I679" s="8"/>
      <c r="J679" s="12"/>
    </row>
    <row r="680" spans="1:10" x14ac:dyDescent="0.25">
      <c r="A680" s="2"/>
      <c r="B680" s="3"/>
      <c r="C680" s="4"/>
      <c r="D680" s="5"/>
      <c r="E680" s="9"/>
      <c r="F680" s="3"/>
      <c r="G680" s="6"/>
      <c r="H680" s="7"/>
      <c r="I680" s="8"/>
      <c r="J680" s="12"/>
    </row>
    <row r="681" spans="1:10" x14ac:dyDescent="0.25">
      <c r="A681" s="2"/>
      <c r="B681" s="3"/>
      <c r="C681" s="4"/>
      <c r="D681" s="5"/>
      <c r="E681" s="9"/>
      <c r="F681" s="3"/>
      <c r="G681" s="6"/>
      <c r="H681" s="7"/>
      <c r="I681" s="8"/>
      <c r="J681" s="12"/>
    </row>
    <row r="682" spans="1:10" x14ac:dyDescent="0.25">
      <c r="A682" s="2"/>
      <c r="B682" s="3"/>
      <c r="C682" s="4"/>
      <c r="D682" s="5"/>
      <c r="E682" s="9"/>
      <c r="F682" s="3"/>
      <c r="G682" s="6"/>
      <c r="H682" s="7"/>
      <c r="I682" s="8"/>
      <c r="J682" s="12"/>
    </row>
    <row r="683" spans="1:10" x14ac:dyDescent="0.25">
      <c r="A683" s="2"/>
      <c r="B683" s="3"/>
      <c r="C683" s="4"/>
      <c r="D683" s="5"/>
      <c r="E683" s="9"/>
      <c r="F683" s="3"/>
      <c r="G683" s="6"/>
      <c r="H683" s="7"/>
      <c r="I683" s="8"/>
      <c r="J683" s="12"/>
    </row>
    <row r="684" spans="1:10" x14ac:dyDescent="0.25">
      <c r="A684" s="2"/>
      <c r="B684" s="3"/>
      <c r="C684" s="4"/>
      <c r="D684" s="5"/>
      <c r="E684" s="9"/>
      <c r="F684" s="3"/>
      <c r="G684" s="6"/>
      <c r="H684" s="7"/>
      <c r="I684" s="8"/>
      <c r="J684" s="12"/>
    </row>
    <row r="685" spans="1:10" x14ac:dyDescent="0.25">
      <c r="A685" s="2"/>
      <c r="B685" s="3"/>
      <c r="C685" s="4"/>
      <c r="D685" s="5"/>
      <c r="E685" s="9"/>
      <c r="F685" s="3"/>
      <c r="G685" s="6"/>
      <c r="H685" s="7"/>
      <c r="I685" s="8"/>
      <c r="J685" s="12"/>
    </row>
    <row r="686" spans="1:10" x14ac:dyDescent="0.25">
      <c r="A686" s="2"/>
      <c r="B686" s="3"/>
      <c r="C686" s="4"/>
      <c r="D686" s="5"/>
      <c r="E686" s="9"/>
      <c r="F686" s="3"/>
      <c r="G686" s="6"/>
      <c r="H686" s="7"/>
      <c r="I686" s="8"/>
      <c r="J686" s="12"/>
    </row>
    <row r="687" spans="1:10" x14ac:dyDescent="0.25">
      <c r="A687" s="2"/>
      <c r="B687" s="3"/>
      <c r="C687" s="4"/>
      <c r="D687" s="5"/>
      <c r="E687" s="9"/>
      <c r="F687" s="3"/>
      <c r="G687" s="6"/>
      <c r="H687" s="7"/>
      <c r="I687" s="8"/>
      <c r="J687" s="12"/>
    </row>
    <row r="688" spans="1:10" x14ac:dyDescent="0.25">
      <c r="A688" s="2"/>
      <c r="B688" s="3"/>
      <c r="C688" s="4"/>
      <c r="D688" s="5"/>
      <c r="E688" s="9"/>
      <c r="F688" s="3"/>
      <c r="G688" s="6"/>
      <c r="H688" s="7"/>
      <c r="I688" s="8"/>
      <c r="J688" s="12"/>
    </row>
    <row r="689" spans="1:10" x14ac:dyDescent="0.25">
      <c r="A689" s="2"/>
      <c r="B689" s="3"/>
      <c r="C689" s="4"/>
      <c r="D689" s="5"/>
      <c r="E689" s="9"/>
      <c r="F689" s="3"/>
      <c r="G689" s="6"/>
      <c r="H689" s="7"/>
      <c r="I689" s="8"/>
      <c r="J689" s="12"/>
    </row>
    <row r="690" spans="1:10" x14ac:dyDescent="0.25">
      <c r="A690" s="2"/>
      <c r="B690" s="3"/>
      <c r="C690" s="4"/>
      <c r="D690" s="5"/>
      <c r="E690" s="9"/>
      <c r="F690" s="3"/>
      <c r="G690" s="6"/>
      <c r="H690" s="7"/>
      <c r="I690" s="8"/>
      <c r="J690" s="12"/>
    </row>
    <row r="691" spans="1:10" x14ac:dyDescent="0.25">
      <c r="A691" s="2"/>
      <c r="B691" s="3"/>
      <c r="C691" s="4"/>
      <c r="D691" s="5"/>
      <c r="E691" s="9"/>
      <c r="F691" s="3"/>
      <c r="G691" s="6"/>
      <c r="H691" s="7"/>
      <c r="I691" s="8"/>
      <c r="J691" s="12"/>
    </row>
    <row r="692" spans="1:10" x14ac:dyDescent="0.25">
      <c r="A692" s="2"/>
      <c r="B692" s="3"/>
      <c r="C692" s="4"/>
      <c r="D692" s="5"/>
      <c r="E692" s="9"/>
      <c r="F692" s="3"/>
      <c r="G692" s="6"/>
      <c r="H692" s="7"/>
      <c r="I692" s="8"/>
      <c r="J692" s="12"/>
    </row>
    <row r="693" spans="1:10" x14ac:dyDescent="0.25">
      <c r="A693" s="2"/>
      <c r="B693" s="3"/>
      <c r="C693" s="4"/>
      <c r="D693" s="5"/>
      <c r="E693" s="9"/>
      <c r="F693" s="3"/>
      <c r="G693" s="6"/>
      <c r="H693" s="7"/>
      <c r="I693" s="8"/>
      <c r="J693" s="12"/>
    </row>
    <row r="694" spans="1:10" x14ac:dyDescent="0.25">
      <c r="A694" s="2"/>
      <c r="B694" s="3"/>
      <c r="C694" s="4"/>
      <c r="D694" s="5"/>
      <c r="E694" s="9"/>
      <c r="F694" s="3"/>
      <c r="G694" s="6"/>
      <c r="H694" s="7"/>
      <c r="I694" s="8"/>
      <c r="J694" s="12"/>
    </row>
    <row r="695" spans="1:10" x14ac:dyDescent="0.25">
      <c r="A695" s="2"/>
      <c r="B695" s="3"/>
      <c r="C695" s="4"/>
      <c r="D695" s="5"/>
      <c r="E695" s="9"/>
      <c r="F695" s="3"/>
      <c r="G695" s="6"/>
      <c r="H695" s="7"/>
      <c r="I695" s="8"/>
      <c r="J695" s="12"/>
    </row>
    <row r="696" spans="1:10" x14ac:dyDescent="0.25">
      <c r="A696" s="2"/>
      <c r="B696" s="3"/>
      <c r="C696" s="4"/>
      <c r="D696" s="5"/>
      <c r="E696" s="9"/>
      <c r="F696" s="3"/>
      <c r="G696" s="6"/>
      <c r="H696" s="7"/>
      <c r="I696" s="8"/>
      <c r="J696" s="12"/>
    </row>
    <row r="697" spans="1:10" x14ac:dyDescent="0.25">
      <c r="A697" s="2"/>
      <c r="B697" s="3"/>
      <c r="C697" s="4"/>
      <c r="D697" s="5"/>
      <c r="E697" s="9"/>
      <c r="F697" s="3"/>
      <c r="G697" s="6"/>
      <c r="H697" s="7"/>
      <c r="I697" s="8"/>
      <c r="J697" s="12"/>
    </row>
    <row r="698" spans="1:10" x14ac:dyDescent="0.25">
      <c r="A698" s="2"/>
      <c r="B698" s="3"/>
      <c r="C698" s="4"/>
      <c r="D698" s="5"/>
      <c r="E698" s="9"/>
      <c r="F698" s="3"/>
      <c r="G698" s="6"/>
      <c r="H698" s="7"/>
      <c r="I698" s="8"/>
      <c r="J698" s="12"/>
    </row>
    <row r="699" spans="1:10" x14ac:dyDescent="0.25">
      <c r="A699" s="2"/>
      <c r="B699" s="3"/>
      <c r="C699" s="4"/>
      <c r="D699" s="5"/>
      <c r="E699" s="9"/>
      <c r="F699" s="3"/>
      <c r="G699" s="6"/>
      <c r="H699" s="7"/>
      <c r="I699" s="8"/>
      <c r="J699" s="12"/>
    </row>
    <row r="700" spans="1:10" x14ac:dyDescent="0.25">
      <c r="A700" s="2"/>
      <c r="B700" s="3"/>
      <c r="C700" s="4"/>
      <c r="D700" s="5"/>
      <c r="E700" s="9"/>
      <c r="F700" s="3"/>
      <c r="G700" s="6"/>
      <c r="H700" s="7"/>
      <c r="I700" s="8"/>
      <c r="J700" s="12"/>
    </row>
    <row r="701" spans="1:10" x14ac:dyDescent="0.25">
      <c r="A701" s="2"/>
      <c r="B701" s="3"/>
      <c r="C701" s="4"/>
      <c r="D701" s="5"/>
      <c r="E701" s="9"/>
      <c r="F701" s="3"/>
      <c r="G701" s="6"/>
      <c r="H701" s="7"/>
      <c r="I701" s="8"/>
      <c r="J701" s="12"/>
    </row>
    <row r="702" spans="1:10" x14ac:dyDescent="0.25">
      <c r="A702" s="2"/>
      <c r="B702" s="3"/>
      <c r="C702" s="4"/>
      <c r="D702" s="5"/>
      <c r="E702" s="9"/>
      <c r="F702" s="3"/>
      <c r="G702" s="6"/>
      <c r="H702" s="7"/>
      <c r="I702" s="8"/>
      <c r="J702" s="12"/>
    </row>
    <row r="703" spans="1:10" x14ac:dyDescent="0.25">
      <c r="A703" s="2"/>
      <c r="B703" s="3"/>
      <c r="C703" s="4"/>
      <c r="D703" s="5"/>
      <c r="E703" s="9"/>
      <c r="F703" s="3"/>
      <c r="G703" s="6"/>
      <c r="H703" s="7"/>
      <c r="I703" s="8"/>
      <c r="J703" s="12"/>
    </row>
    <row r="704" spans="1:10" x14ac:dyDescent="0.25">
      <c r="A704" s="2"/>
      <c r="B704" s="3"/>
      <c r="C704" s="4"/>
      <c r="D704" s="5"/>
      <c r="E704" s="9"/>
      <c r="F704" s="3"/>
      <c r="G704" s="6"/>
      <c r="H704" s="7"/>
      <c r="I704" s="8"/>
      <c r="J704" s="12"/>
    </row>
    <row r="705" spans="1:10" x14ac:dyDescent="0.25">
      <c r="A705" s="2"/>
      <c r="B705" s="3"/>
      <c r="C705" s="4"/>
      <c r="D705" s="5"/>
      <c r="E705" s="9"/>
      <c r="F705" s="3"/>
      <c r="G705" s="6"/>
      <c r="H705" s="7"/>
      <c r="I705" s="8"/>
      <c r="J705" s="12"/>
    </row>
    <row r="706" spans="1:10" x14ac:dyDescent="0.25">
      <c r="A706" s="2"/>
      <c r="B706" s="3"/>
      <c r="C706" s="4"/>
      <c r="D706" s="5"/>
      <c r="E706" s="9"/>
      <c r="F706" s="3"/>
      <c r="G706" s="6"/>
      <c r="H706" s="7"/>
      <c r="I706" s="8"/>
      <c r="J706" s="12"/>
    </row>
    <row r="707" spans="1:10" x14ac:dyDescent="0.25">
      <c r="A707" s="2"/>
      <c r="B707" s="3"/>
      <c r="C707" s="4"/>
      <c r="D707" s="5"/>
      <c r="E707" s="9"/>
      <c r="F707" s="3"/>
      <c r="G707" s="6"/>
      <c r="H707" s="7"/>
      <c r="I707" s="8"/>
      <c r="J707" s="12"/>
    </row>
    <row r="708" spans="1:10" x14ac:dyDescent="0.25">
      <c r="A708" s="2"/>
      <c r="B708" s="3"/>
      <c r="C708" s="4"/>
      <c r="D708" s="5"/>
      <c r="E708" s="9"/>
      <c r="F708" s="3"/>
      <c r="G708" s="6"/>
      <c r="H708" s="7"/>
      <c r="I708" s="8"/>
      <c r="J708" s="12"/>
    </row>
    <row r="709" spans="1:10" x14ac:dyDescent="0.25">
      <c r="A709" s="2"/>
      <c r="B709" s="3"/>
      <c r="C709" s="4"/>
      <c r="D709" s="5"/>
      <c r="E709" s="9"/>
      <c r="F709" s="3"/>
      <c r="G709" s="6"/>
      <c r="H709" s="7"/>
      <c r="I709" s="8"/>
      <c r="J709" s="12"/>
    </row>
    <row r="710" spans="1:10" x14ac:dyDescent="0.25">
      <c r="A710" s="2"/>
      <c r="B710" s="3"/>
      <c r="C710" s="4"/>
      <c r="D710" s="5"/>
      <c r="E710" s="9"/>
      <c r="F710" s="3"/>
      <c r="G710" s="6"/>
      <c r="H710" s="7"/>
      <c r="I710" s="8"/>
      <c r="J710" s="12"/>
    </row>
    <row r="711" spans="1:10" x14ac:dyDescent="0.25">
      <c r="A711" s="2"/>
      <c r="B711" s="3"/>
      <c r="C711" s="4"/>
      <c r="D711" s="5"/>
      <c r="E711" s="9"/>
      <c r="F711" s="3"/>
      <c r="G711" s="6"/>
      <c r="H711" s="7"/>
      <c r="I711" s="8"/>
      <c r="J711" s="12"/>
    </row>
    <row r="712" spans="1:10" x14ac:dyDescent="0.25">
      <c r="A712" s="2"/>
      <c r="B712" s="3"/>
      <c r="C712" s="4"/>
      <c r="D712" s="5"/>
      <c r="E712" s="9"/>
      <c r="F712" s="3"/>
      <c r="G712" s="6"/>
      <c r="H712" s="7"/>
      <c r="I712" s="8"/>
      <c r="J712" s="12"/>
    </row>
    <row r="713" spans="1:10" x14ac:dyDescent="0.25">
      <c r="A713" s="2"/>
      <c r="B713" s="3"/>
      <c r="C713" s="4"/>
      <c r="D713" s="5"/>
      <c r="E713" s="9"/>
      <c r="F713" s="3"/>
      <c r="G713" s="6"/>
      <c r="H713" s="7"/>
      <c r="I713" s="8"/>
      <c r="J713" s="12"/>
    </row>
    <row r="714" spans="1:10" x14ac:dyDescent="0.25">
      <c r="A714" s="2"/>
      <c r="B714" s="3"/>
      <c r="C714" s="4"/>
      <c r="D714" s="5"/>
      <c r="E714" s="9"/>
      <c r="F714" s="3"/>
      <c r="G714" s="6"/>
      <c r="H714" s="7"/>
      <c r="I714" s="8"/>
      <c r="J714" s="12"/>
    </row>
    <row r="715" spans="1:10" x14ac:dyDescent="0.25">
      <c r="A715" s="2"/>
      <c r="B715" s="3"/>
      <c r="C715" s="4"/>
      <c r="D715" s="5"/>
      <c r="E715" s="9"/>
      <c r="F715" s="3"/>
      <c r="G715" s="6"/>
      <c r="H715" s="7"/>
      <c r="I715" s="8"/>
      <c r="J715" s="12"/>
    </row>
    <row r="716" spans="1:10" x14ac:dyDescent="0.25">
      <c r="A716" s="2"/>
      <c r="B716" s="3"/>
      <c r="C716" s="4"/>
      <c r="D716" s="5"/>
      <c r="E716" s="9"/>
      <c r="F716" s="3"/>
      <c r="G716" s="6"/>
      <c r="H716" s="7"/>
      <c r="I716" s="8"/>
      <c r="J716" s="12"/>
    </row>
    <row r="717" spans="1:10" x14ac:dyDescent="0.25">
      <c r="A717" s="2"/>
      <c r="B717" s="3"/>
      <c r="C717" s="4"/>
      <c r="D717" s="5"/>
      <c r="E717" s="9"/>
      <c r="F717" s="3"/>
      <c r="G717" s="6"/>
      <c r="H717" s="7"/>
      <c r="I717" s="8"/>
      <c r="J717" s="12"/>
    </row>
    <row r="718" spans="1:10" x14ac:dyDescent="0.25">
      <c r="A718" s="2"/>
      <c r="B718" s="3"/>
      <c r="C718" s="4"/>
      <c r="D718" s="5"/>
      <c r="E718" s="9"/>
      <c r="F718" s="3"/>
      <c r="G718" s="6"/>
      <c r="H718" s="7"/>
      <c r="I718" s="8"/>
      <c r="J718" s="12"/>
    </row>
    <row r="719" spans="1:10" x14ac:dyDescent="0.25">
      <c r="A719" s="2"/>
      <c r="B719" s="3"/>
      <c r="C719" s="4"/>
      <c r="D719" s="5"/>
      <c r="E719" s="9"/>
      <c r="F719" s="3"/>
      <c r="G719" s="6"/>
      <c r="H719" s="7"/>
      <c r="I719" s="8"/>
      <c r="J719" s="12"/>
    </row>
    <row r="720" spans="1:10" x14ac:dyDescent="0.25">
      <c r="A720" s="2"/>
      <c r="B720" s="3"/>
      <c r="C720" s="4"/>
      <c r="D720" s="5"/>
      <c r="E720" s="9"/>
      <c r="F720" s="3"/>
      <c r="G720" s="6"/>
      <c r="H720" s="7"/>
      <c r="I720" s="8"/>
      <c r="J720" s="12"/>
    </row>
    <row r="721" spans="1:10" x14ac:dyDescent="0.25">
      <c r="A721" s="2"/>
      <c r="B721" s="3"/>
      <c r="C721" s="4"/>
      <c r="D721" s="5"/>
      <c r="E721" s="9"/>
      <c r="F721" s="3"/>
      <c r="G721" s="6"/>
      <c r="H721" s="7"/>
      <c r="I721" s="8"/>
      <c r="J721" s="12"/>
    </row>
    <row r="722" spans="1:10" x14ac:dyDescent="0.25">
      <c r="A722" s="2"/>
      <c r="B722" s="3"/>
      <c r="C722" s="4"/>
      <c r="D722" s="5"/>
      <c r="E722" s="9"/>
      <c r="F722" s="3"/>
      <c r="G722" s="6"/>
      <c r="H722" s="7"/>
      <c r="I722" s="8"/>
      <c r="J722" s="12"/>
    </row>
    <row r="723" spans="1:10" x14ac:dyDescent="0.25">
      <c r="A723" s="2"/>
      <c r="B723" s="3"/>
      <c r="C723" s="4"/>
      <c r="D723" s="5"/>
      <c r="E723" s="9"/>
      <c r="F723" s="3"/>
      <c r="G723" s="6"/>
      <c r="H723" s="7"/>
      <c r="I723" s="8"/>
      <c r="J723" s="12"/>
    </row>
    <row r="724" spans="1:10" x14ac:dyDescent="0.25">
      <c r="A724" s="2"/>
      <c r="B724" s="3"/>
      <c r="C724" s="4"/>
      <c r="D724" s="5"/>
      <c r="E724" s="9"/>
      <c r="F724" s="3"/>
      <c r="G724" s="6"/>
      <c r="H724" s="7"/>
      <c r="I724" s="8"/>
      <c r="J724" s="12"/>
    </row>
    <row r="725" spans="1:10" x14ac:dyDescent="0.25">
      <c r="A725" s="2"/>
      <c r="B725" s="3"/>
      <c r="C725" s="4"/>
      <c r="D725" s="5"/>
      <c r="E725" s="9"/>
      <c r="F725" s="3"/>
      <c r="G725" s="6"/>
      <c r="H725" s="7"/>
      <c r="I725" s="8"/>
      <c r="J725" s="12"/>
    </row>
    <row r="726" spans="1:10" x14ac:dyDescent="0.25">
      <c r="A726" s="2"/>
      <c r="B726" s="3"/>
      <c r="C726" s="4"/>
      <c r="D726" s="5"/>
      <c r="E726" s="9"/>
      <c r="F726" s="3"/>
      <c r="G726" s="6"/>
      <c r="H726" s="7"/>
      <c r="I726" s="8"/>
      <c r="J726" s="12"/>
    </row>
    <row r="727" spans="1:10" x14ac:dyDescent="0.25">
      <c r="A727" s="2"/>
      <c r="B727" s="3"/>
      <c r="C727" s="4"/>
      <c r="D727" s="5"/>
      <c r="E727" s="9"/>
      <c r="F727" s="3"/>
      <c r="G727" s="6"/>
      <c r="H727" s="7"/>
      <c r="I727" s="8"/>
      <c r="J727" s="12"/>
    </row>
    <row r="728" spans="1:10" x14ac:dyDescent="0.25">
      <c r="A728" s="2"/>
      <c r="B728" s="3"/>
      <c r="C728" s="4"/>
      <c r="D728" s="5"/>
      <c r="E728" s="9"/>
      <c r="F728" s="3"/>
      <c r="G728" s="6"/>
      <c r="H728" s="7"/>
      <c r="I728" s="8"/>
      <c r="J728" s="12"/>
    </row>
    <row r="729" spans="1:10" x14ac:dyDescent="0.25">
      <c r="A729" s="2"/>
      <c r="B729" s="3"/>
      <c r="C729" s="4"/>
      <c r="D729" s="5"/>
      <c r="E729" s="9"/>
      <c r="F729" s="3"/>
      <c r="G729" s="6"/>
      <c r="H729" s="7"/>
      <c r="I729" s="8"/>
      <c r="J729" s="12"/>
    </row>
    <row r="730" spans="1:10" x14ac:dyDescent="0.25">
      <c r="A730" s="2"/>
      <c r="B730" s="3"/>
      <c r="C730" s="4"/>
      <c r="D730" s="5"/>
      <c r="E730" s="9"/>
      <c r="F730" s="3"/>
      <c r="G730" s="6"/>
      <c r="H730" s="7"/>
      <c r="I730" s="8"/>
      <c r="J730" s="12"/>
    </row>
    <row r="731" spans="1:10" x14ac:dyDescent="0.25">
      <c r="A731" s="2"/>
      <c r="B731" s="3"/>
      <c r="C731" s="4"/>
      <c r="D731" s="5"/>
      <c r="E731" s="9"/>
      <c r="F731" s="3"/>
      <c r="G731" s="6"/>
      <c r="H731" s="7"/>
      <c r="I731" s="8"/>
      <c r="J731" s="12"/>
    </row>
    <row r="732" spans="1:10" x14ac:dyDescent="0.25">
      <c r="A732" s="2"/>
      <c r="B732" s="3"/>
      <c r="C732" s="4"/>
      <c r="D732" s="5"/>
      <c r="E732" s="9"/>
      <c r="F732" s="3"/>
      <c r="G732" s="6"/>
      <c r="H732" s="7"/>
      <c r="I732" s="8"/>
      <c r="J732" s="12"/>
    </row>
    <row r="733" spans="1:10" x14ac:dyDescent="0.25">
      <c r="A733" s="2"/>
      <c r="B733" s="3"/>
      <c r="C733" s="4"/>
      <c r="D733" s="5"/>
      <c r="E733" s="9"/>
      <c r="F733" s="3"/>
      <c r="G733" s="6"/>
      <c r="H733" s="7"/>
      <c r="I733" s="8"/>
      <c r="J733" s="12"/>
    </row>
    <row r="734" spans="1:10" x14ac:dyDescent="0.25">
      <c r="A734" s="2"/>
      <c r="B734" s="3"/>
      <c r="C734" s="4"/>
      <c r="D734" s="5"/>
      <c r="E734" s="9"/>
      <c r="F734" s="3"/>
      <c r="G734" s="6"/>
      <c r="H734" s="7"/>
      <c r="I734" s="8"/>
      <c r="J734" s="12"/>
    </row>
    <row r="735" spans="1:10" x14ac:dyDescent="0.25">
      <c r="A735" s="2"/>
      <c r="B735" s="3"/>
      <c r="C735" s="4"/>
      <c r="D735" s="5"/>
      <c r="E735" s="9"/>
      <c r="F735" s="3"/>
      <c r="G735" s="6"/>
      <c r="H735" s="7"/>
      <c r="I735" s="8"/>
      <c r="J735" s="12"/>
    </row>
    <row r="736" spans="1:10" x14ac:dyDescent="0.25">
      <c r="A736" s="2"/>
      <c r="B736" s="3"/>
      <c r="C736" s="4"/>
      <c r="D736" s="5"/>
      <c r="E736" s="9"/>
      <c r="F736" s="3"/>
      <c r="G736" s="6"/>
      <c r="H736" s="7"/>
      <c r="I736" s="8"/>
      <c r="J736" s="12"/>
    </row>
    <row r="737" spans="1:10" x14ac:dyDescent="0.25">
      <c r="A737" s="2"/>
      <c r="B737" s="3"/>
      <c r="C737" s="4"/>
      <c r="D737" s="5"/>
      <c r="E737" s="9"/>
      <c r="F737" s="3"/>
      <c r="G737" s="6"/>
      <c r="H737" s="7"/>
      <c r="I737" s="8"/>
      <c r="J737" s="12"/>
    </row>
    <row r="738" spans="1:10" x14ac:dyDescent="0.25">
      <c r="A738" s="2"/>
      <c r="B738" s="3"/>
      <c r="C738" s="4"/>
      <c r="D738" s="5"/>
      <c r="E738" s="9"/>
      <c r="F738" s="3"/>
      <c r="G738" s="6"/>
      <c r="H738" s="7"/>
      <c r="I738" s="8"/>
      <c r="J738" s="12"/>
    </row>
    <row r="739" spans="1:10" x14ac:dyDescent="0.25">
      <c r="A739" s="2"/>
      <c r="B739" s="3"/>
      <c r="C739" s="4"/>
      <c r="D739" s="5"/>
      <c r="E739" s="9"/>
      <c r="F739" s="3"/>
      <c r="G739" s="6"/>
      <c r="H739" s="7"/>
      <c r="I739" s="8"/>
      <c r="J739" s="12"/>
    </row>
    <row r="740" spans="1:10" x14ac:dyDescent="0.25">
      <c r="A740" s="2"/>
      <c r="B740" s="3"/>
      <c r="C740" s="4"/>
      <c r="D740" s="5"/>
      <c r="E740" s="9"/>
      <c r="F740" s="3"/>
      <c r="G740" s="6"/>
      <c r="H740" s="7"/>
      <c r="I740" s="8"/>
      <c r="J740" s="12"/>
    </row>
    <row r="741" spans="1:10" x14ac:dyDescent="0.25">
      <c r="A741" s="2"/>
      <c r="B741" s="3"/>
      <c r="C741" s="4"/>
      <c r="D741" s="5"/>
      <c r="E741" s="9"/>
      <c r="F741" s="3"/>
      <c r="G741" s="6"/>
      <c r="H741" s="7"/>
      <c r="I741" s="8"/>
      <c r="J741" s="12"/>
    </row>
    <row r="742" spans="1:10" x14ac:dyDescent="0.25">
      <c r="A742" s="2"/>
      <c r="B742" s="3"/>
      <c r="C742" s="4"/>
      <c r="D742" s="5"/>
      <c r="E742" s="9"/>
      <c r="F742" s="3"/>
      <c r="G742" s="6"/>
      <c r="H742" s="7"/>
      <c r="I742" s="8"/>
      <c r="J742" s="12"/>
    </row>
    <row r="743" spans="1:10" x14ac:dyDescent="0.25">
      <c r="A743" s="2"/>
      <c r="B743" s="3"/>
      <c r="C743" s="4"/>
      <c r="D743" s="5"/>
      <c r="E743" s="9"/>
      <c r="F743" s="3"/>
      <c r="G743" s="6"/>
      <c r="H743" s="7"/>
      <c r="I743" s="8"/>
      <c r="J743" s="12"/>
    </row>
    <row r="744" spans="1:10" x14ac:dyDescent="0.25">
      <c r="A744" s="2"/>
      <c r="B744" s="3"/>
      <c r="C744" s="4"/>
      <c r="D744" s="5"/>
      <c r="E744" s="9"/>
      <c r="F744" s="3"/>
      <c r="G744" s="6"/>
      <c r="H744" s="7"/>
      <c r="I744" s="8"/>
      <c r="J744" s="12"/>
    </row>
    <row r="745" spans="1:10" x14ac:dyDescent="0.25">
      <c r="A745" s="2"/>
      <c r="B745" s="3"/>
      <c r="C745" s="4"/>
      <c r="D745" s="5"/>
      <c r="E745" s="9"/>
      <c r="F745" s="3"/>
      <c r="G745" s="6"/>
      <c r="H745" s="7"/>
      <c r="I745" s="8"/>
      <c r="J745" s="12"/>
    </row>
    <row r="746" spans="1:10" x14ac:dyDescent="0.25">
      <c r="A746" s="2"/>
      <c r="B746" s="3"/>
      <c r="C746" s="4"/>
      <c r="D746" s="5"/>
      <c r="E746" s="9"/>
      <c r="F746" s="3"/>
      <c r="G746" s="6"/>
      <c r="H746" s="7"/>
      <c r="I746" s="8"/>
      <c r="J746" s="12"/>
    </row>
    <row r="747" spans="1:10" x14ac:dyDescent="0.25">
      <c r="A747" s="2"/>
      <c r="B747" s="3"/>
      <c r="C747" s="4"/>
      <c r="D747" s="5"/>
      <c r="E747" s="9"/>
      <c r="F747" s="3"/>
      <c r="G747" s="6"/>
      <c r="H747" s="7"/>
      <c r="I747" s="8"/>
      <c r="J747" s="12"/>
    </row>
    <row r="748" spans="1:10" x14ac:dyDescent="0.25">
      <c r="A748" s="2"/>
      <c r="B748" s="3"/>
      <c r="C748" s="4"/>
      <c r="D748" s="5"/>
      <c r="E748" s="9"/>
      <c r="F748" s="3"/>
      <c r="G748" s="6"/>
      <c r="H748" s="7"/>
      <c r="I748" s="8"/>
      <c r="J748" s="12"/>
    </row>
    <row r="749" spans="1:10" x14ac:dyDescent="0.25">
      <c r="A749" s="2"/>
      <c r="B749" s="3"/>
      <c r="C749" s="4"/>
      <c r="D749" s="5"/>
      <c r="E749" s="9"/>
      <c r="F749" s="3"/>
      <c r="G749" s="6"/>
      <c r="H749" s="7"/>
      <c r="I749" s="8"/>
      <c r="J749" s="12"/>
    </row>
    <row r="750" spans="1:10" x14ac:dyDescent="0.25">
      <c r="A750" s="2"/>
      <c r="B750" s="3"/>
      <c r="C750" s="4"/>
      <c r="D750" s="5"/>
      <c r="E750" s="9"/>
      <c r="F750" s="3"/>
      <c r="G750" s="6"/>
      <c r="H750" s="7"/>
      <c r="I750" s="8"/>
      <c r="J750" s="12"/>
    </row>
    <row r="751" spans="1:10" x14ac:dyDescent="0.25">
      <c r="A751" s="2"/>
      <c r="B751" s="3"/>
      <c r="C751" s="4"/>
      <c r="D751" s="5"/>
      <c r="E751" s="9"/>
      <c r="F751" s="3"/>
      <c r="G751" s="6"/>
      <c r="H751" s="7"/>
      <c r="I751" s="8"/>
      <c r="J751" s="12"/>
    </row>
    <row r="752" spans="1:10" x14ac:dyDescent="0.25">
      <c r="A752" s="2"/>
      <c r="B752" s="3"/>
      <c r="C752" s="4"/>
      <c r="D752" s="5"/>
      <c r="E752" s="9"/>
      <c r="F752" s="3"/>
      <c r="G752" s="6"/>
      <c r="H752" s="7"/>
      <c r="I752" s="8"/>
      <c r="J752" s="12"/>
    </row>
    <row r="753" spans="1:10" x14ac:dyDescent="0.25">
      <c r="A753" s="2"/>
      <c r="B753" s="3"/>
      <c r="C753" s="4"/>
      <c r="D753" s="5"/>
      <c r="E753" s="9"/>
      <c r="F753" s="3"/>
      <c r="G753" s="6"/>
      <c r="H753" s="7"/>
      <c r="I753" s="8"/>
      <c r="J753" s="12"/>
    </row>
    <row r="754" spans="1:10" x14ac:dyDescent="0.25">
      <c r="A754" s="2"/>
      <c r="B754" s="3"/>
      <c r="C754" s="4"/>
      <c r="D754" s="5"/>
      <c r="E754" s="9"/>
      <c r="F754" s="3"/>
      <c r="G754" s="6"/>
      <c r="H754" s="7"/>
      <c r="I754" s="8"/>
      <c r="J754" s="12"/>
    </row>
    <row r="755" spans="1:10" x14ac:dyDescent="0.25">
      <c r="A755" s="2"/>
      <c r="B755" s="3"/>
      <c r="C755" s="4"/>
      <c r="D755" s="5"/>
      <c r="E755" s="9"/>
      <c r="F755" s="3"/>
      <c r="G755" s="6"/>
      <c r="H755" s="7"/>
      <c r="I755" s="8"/>
      <c r="J755" s="12"/>
    </row>
    <row r="756" spans="1:10" x14ac:dyDescent="0.25">
      <c r="A756" s="2"/>
      <c r="B756" s="3"/>
      <c r="C756" s="4"/>
      <c r="D756" s="5"/>
      <c r="E756" s="9"/>
      <c r="F756" s="3"/>
      <c r="G756" s="6"/>
      <c r="H756" s="7"/>
      <c r="I756" s="8"/>
      <c r="J756" s="12"/>
    </row>
    <row r="757" spans="1:10" x14ac:dyDescent="0.25">
      <c r="A757" s="2"/>
      <c r="B757" s="3"/>
      <c r="C757" s="4"/>
      <c r="D757" s="5"/>
      <c r="E757" s="9"/>
      <c r="F757" s="3"/>
      <c r="G757" s="6"/>
      <c r="H757" s="7"/>
      <c r="I757" s="8"/>
      <c r="J757" s="12"/>
    </row>
    <row r="758" spans="1:10" x14ac:dyDescent="0.25">
      <c r="A758" s="2"/>
      <c r="B758" s="3"/>
      <c r="C758" s="4"/>
      <c r="D758" s="5"/>
      <c r="E758" s="9"/>
      <c r="F758" s="3"/>
      <c r="G758" s="6"/>
      <c r="H758" s="7"/>
      <c r="I758" s="8"/>
      <c r="J758" s="12"/>
    </row>
    <row r="759" spans="1:10" x14ac:dyDescent="0.25">
      <c r="A759" s="2"/>
      <c r="B759" s="3"/>
      <c r="C759" s="4"/>
      <c r="D759" s="5"/>
      <c r="E759" s="9"/>
      <c r="F759" s="3"/>
      <c r="G759" s="6"/>
      <c r="H759" s="7"/>
      <c r="I759" s="8"/>
      <c r="J759" s="12"/>
    </row>
    <row r="760" spans="1:10" x14ac:dyDescent="0.25">
      <c r="A760" s="2"/>
      <c r="B760" s="3"/>
      <c r="C760" s="4"/>
      <c r="D760" s="5"/>
      <c r="E760" s="9"/>
      <c r="F760" s="3"/>
      <c r="G760" s="6"/>
      <c r="H760" s="7"/>
      <c r="I760" s="8"/>
      <c r="J760" s="12"/>
    </row>
    <row r="761" spans="1:10" x14ac:dyDescent="0.25">
      <c r="A761" s="2"/>
      <c r="B761" s="3"/>
      <c r="C761" s="4"/>
      <c r="D761" s="5"/>
      <c r="E761" s="9"/>
      <c r="F761" s="3"/>
      <c r="G761" s="6"/>
      <c r="H761" s="7"/>
      <c r="I761" s="8"/>
      <c r="J761" s="12"/>
    </row>
    <row r="762" spans="1:10" x14ac:dyDescent="0.25">
      <c r="A762" s="2"/>
      <c r="B762" s="3"/>
      <c r="C762" s="4"/>
      <c r="D762" s="5"/>
      <c r="E762" s="9"/>
      <c r="F762" s="3"/>
      <c r="G762" s="6"/>
      <c r="H762" s="7"/>
      <c r="I762" s="8"/>
      <c r="J762" s="12"/>
    </row>
    <row r="763" spans="1:10" x14ac:dyDescent="0.25">
      <c r="A763" s="2"/>
      <c r="B763" s="3"/>
      <c r="C763" s="4"/>
      <c r="D763" s="5"/>
      <c r="E763" s="9"/>
      <c r="F763" s="3"/>
      <c r="G763" s="6"/>
      <c r="H763" s="7"/>
      <c r="I763" s="8"/>
      <c r="J763" s="12"/>
    </row>
    <row r="764" spans="1:10" x14ac:dyDescent="0.25">
      <c r="A764" s="2"/>
      <c r="B764" s="3"/>
      <c r="C764" s="4"/>
      <c r="D764" s="5"/>
      <c r="E764" s="9"/>
      <c r="F764" s="3"/>
      <c r="G764" s="6"/>
      <c r="H764" s="7"/>
      <c r="I764" s="8"/>
      <c r="J764" s="12"/>
    </row>
    <row r="765" spans="1:10" x14ac:dyDescent="0.25">
      <c r="A765" s="2"/>
      <c r="B765" s="3"/>
      <c r="C765" s="4"/>
      <c r="D765" s="5"/>
      <c r="E765" s="9"/>
      <c r="F765" s="3"/>
      <c r="G765" s="6"/>
      <c r="H765" s="7"/>
      <c r="I765" s="8"/>
      <c r="J765" s="12"/>
    </row>
    <row r="766" spans="1:10" x14ac:dyDescent="0.25">
      <c r="A766" s="2"/>
      <c r="B766" s="3"/>
      <c r="C766" s="4"/>
      <c r="D766" s="5"/>
      <c r="E766" s="9"/>
      <c r="F766" s="3"/>
      <c r="G766" s="6"/>
      <c r="H766" s="7"/>
      <c r="I766" s="8"/>
      <c r="J766" s="12"/>
    </row>
    <row r="767" spans="1:10" x14ac:dyDescent="0.25">
      <c r="A767" s="2"/>
      <c r="B767" s="3"/>
      <c r="C767" s="4"/>
      <c r="D767" s="5"/>
      <c r="E767" s="9"/>
      <c r="F767" s="3"/>
      <c r="G767" s="6"/>
      <c r="H767" s="7"/>
      <c r="I767" s="8"/>
      <c r="J767" s="12"/>
    </row>
    <row r="768" spans="1:10" x14ac:dyDescent="0.25">
      <c r="A768" s="2"/>
      <c r="B768" s="3"/>
      <c r="C768" s="4"/>
      <c r="D768" s="5"/>
      <c r="E768" s="9"/>
      <c r="F768" s="3"/>
      <c r="G768" s="6"/>
      <c r="H768" s="7"/>
      <c r="I768" s="8"/>
      <c r="J768" s="12"/>
    </row>
    <row r="769" spans="1:10" x14ac:dyDescent="0.25">
      <c r="A769" s="2"/>
      <c r="B769" s="3"/>
      <c r="C769" s="4"/>
      <c r="D769" s="5"/>
      <c r="E769" s="9"/>
      <c r="F769" s="3"/>
      <c r="G769" s="6"/>
      <c r="H769" s="7"/>
      <c r="I769" s="8"/>
      <c r="J769" s="12"/>
    </row>
    <row r="770" spans="1:10" x14ac:dyDescent="0.25">
      <c r="A770" s="2"/>
      <c r="B770" s="3"/>
      <c r="C770" s="4"/>
      <c r="D770" s="5"/>
      <c r="E770" s="9"/>
      <c r="F770" s="3"/>
      <c r="G770" s="6"/>
      <c r="H770" s="7"/>
      <c r="I770" s="8"/>
      <c r="J770" s="12"/>
    </row>
    <row r="771" spans="1:10" x14ac:dyDescent="0.25">
      <c r="A771" s="2"/>
      <c r="B771" s="3"/>
      <c r="C771" s="4"/>
      <c r="D771" s="5"/>
      <c r="E771" s="9"/>
      <c r="F771" s="3"/>
      <c r="G771" s="6"/>
      <c r="H771" s="7"/>
      <c r="I771" s="8"/>
      <c r="J771" s="12"/>
    </row>
    <row r="772" spans="1:10" x14ac:dyDescent="0.25">
      <c r="A772" s="2"/>
      <c r="B772" s="3"/>
      <c r="C772" s="4"/>
      <c r="D772" s="5"/>
      <c r="E772" s="9"/>
      <c r="F772" s="3"/>
      <c r="G772" s="6"/>
      <c r="H772" s="7"/>
      <c r="I772" s="8"/>
      <c r="J772" s="12"/>
    </row>
    <row r="773" spans="1:10" x14ac:dyDescent="0.25">
      <c r="A773" s="2"/>
      <c r="B773" s="3"/>
      <c r="C773" s="4"/>
      <c r="D773" s="5"/>
      <c r="E773" s="9"/>
      <c r="F773" s="3"/>
      <c r="G773" s="6"/>
      <c r="H773" s="7"/>
      <c r="I773" s="8"/>
      <c r="J773" s="12"/>
    </row>
    <row r="774" spans="1:10" x14ac:dyDescent="0.25">
      <c r="A774" s="2"/>
      <c r="B774" s="3"/>
      <c r="C774" s="4"/>
      <c r="D774" s="5"/>
      <c r="E774" s="9"/>
      <c r="F774" s="3"/>
      <c r="G774" s="6"/>
      <c r="H774" s="7"/>
      <c r="I774" s="8"/>
      <c r="J774" s="12"/>
    </row>
    <row r="775" spans="1:10" x14ac:dyDescent="0.25">
      <c r="A775" s="2"/>
      <c r="B775" s="3"/>
      <c r="C775" s="4"/>
      <c r="D775" s="5"/>
      <c r="E775" s="9"/>
      <c r="F775" s="3"/>
      <c r="G775" s="6"/>
      <c r="H775" s="7"/>
      <c r="I775" s="8"/>
      <c r="J775" s="12"/>
    </row>
    <row r="776" spans="1:10" x14ac:dyDescent="0.25">
      <c r="A776" s="2"/>
      <c r="B776" s="3"/>
      <c r="C776" s="4"/>
      <c r="D776" s="5"/>
      <c r="E776" s="9"/>
      <c r="F776" s="3"/>
      <c r="G776" s="6"/>
      <c r="H776" s="7"/>
      <c r="I776" s="8"/>
      <c r="J776" s="12"/>
    </row>
    <row r="777" spans="1:10" x14ac:dyDescent="0.25">
      <c r="A777" s="2"/>
      <c r="B777" s="3"/>
      <c r="C777" s="4"/>
      <c r="D777" s="5"/>
      <c r="E777" s="9"/>
      <c r="F777" s="3"/>
      <c r="G777" s="6"/>
      <c r="H777" s="7"/>
      <c r="I777" s="8"/>
      <c r="J777" s="12"/>
    </row>
    <row r="778" spans="1:10" x14ac:dyDescent="0.25">
      <c r="A778" s="2"/>
      <c r="B778" s="3"/>
      <c r="C778" s="4"/>
      <c r="D778" s="5"/>
      <c r="E778" s="9"/>
      <c r="F778" s="3"/>
      <c r="G778" s="6"/>
      <c r="H778" s="7"/>
      <c r="I778" s="8"/>
      <c r="J778" s="12"/>
    </row>
    <row r="779" spans="1:10" x14ac:dyDescent="0.25">
      <c r="A779" s="2"/>
      <c r="B779" s="3"/>
      <c r="C779" s="4"/>
      <c r="D779" s="5"/>
      <c r="E779" s="9"/>
      <c r="F779" s="3"/>
      <c r="G779" s="6"/>
      <c r="H779" s="7"/>
      <c r="I779" s="8"/>
      <c r="J779" s="12"/>
    </row>
    <row r="780" spans="1:10" x14ac:dyDescent="0.25">
      <c r="A780" s="2"/>
      <c r="B780" s="3"/>
      <c r="C780" s="4"/>
      <c r="D780" s="5"/>
      <c r="E780" s="9"/>
      <c r="F780" s="3"/>
      <c r="G780" s="6"/>
      <c r="H780" s="7"/>
      <c r="I780" s="8"/>
      <c r="J780" s="12"/>
    </row>
    <row r="781" spans="1:10" x14ac:dyDescent="0.25">
      <c r="A781" s="2"/>
      <c r="B781" s="3"/>
      <c r="C781" s="4"/>
      <c r="D781" s="5"/>
      <c r="E781" s="9"/>
      <c r="F781" s="3"/>
      <c r="G781" s="6"/>
      <c r="H781" s="7"/>
      <c r="I781" s="8"/>
      <c r="J781" s="12"/>
    </row>
    <row r="782" spans="1:10" x14ac:dyDescent="0.25">
      <c r="A782" s="2"/>
      <c r="B782" s="3"/>
      <c r="C782" s="4"/>
      <c r="D782" s="5"/>
      <c r="E782" s="9"/>
      <c r="F782" s="3"/>
      <c r="G782" s="6"/>
      <c r="H782" s="7"/>
      <c r="I782" s="8"/>
      <c r="J782" s="12"/>
    </row>
    <row r="783" spans="1:10" x14ac:dyDescent="0.25">
      <c r="A783" s="2"/>
      <c r="B783" s="3"/>
      <c r="C783" s="4"/>
      <c r="D783" s="5"/>
      <c r="E783" s="9"/>
      <c r="F783" s="3"/>
      <c r="G783" s="6"/>
      <c r="H783" s="7"/>
      <c r="I783" s="8"/>
      <c r="J783" s="12"/>
    </row>
    <row r="784" spans="1:10" x14ac:dyDescent="0.25">
      <c r="A784" s="2"/>
      <c r="B784" s="3"/>
      <c r="C784" s="4"/>
      <c r="D784" s="5"/>
      <c r="E784" s="9"/>
      <c r="F784" s="3"/>
      <c r="G784" s="6"/>
      <c r="H784" s="7"/>
      <c r="I784" s="8"/>
      <c r="J784" s="12"/>
    </row>
    <row r="785" spans="1:10" x14ac:dyDescent="0.25">
      <c r="A785" s="2"/>
      <c r="B785" s="3"/>
      <c r="C785" s="4"/>
      <c r="D785" s="5"/>
      <c r="E785" s="9"/>
      <c r="F785" s="3"/>
      <c r="G785" s="6"/>
      <c r="H785" s="7"/>
      <c r="I785" s="8"/>
      <c r="J785" s="12"/>
    </row>
    <row r="786" spans="1:10" x14ac:dyDescent="0.25">
      <c r="A786" s="2"/>
      <c r="B786" s="3"/>
      <c r="C786" s="4"/>
      <c r="D786" s="5"/>
      <c r="E786" s="9"/>
      <c r="F786" s="3"/>
      <c r="G786" s="6"/>
      <c r="H786" s="7"/>
      <c r="I786" s="8"/>
      <c r="J786" s="12"/>
    </row>
    <row r="787" spans="1:10" x14ac:dyDescent="0.25">
      <c r="A787" s="2"/>
      <c r="B787" s="3"/>
      <c r="C787" s="4"/>
      <c r="D787" s="5"/>
      <c r="E787" s="9"/>
      <c r="F787" s="3"/>
      <c r="G787" s="6"/>
      <c r="H787" s="7"/>
      <c r="I787" s="8"/>
      <c r="J787" s="12"/>
    </row>
    <row r="788" spans="1:10" x14ac:dyDescent="0.25">
      <c r="A788" s="2"/>
      <c r="B788" s="3"/>
      <c r="C788" s="4"/>
      <c r="D788" s="5"/>
      <c r="E788" s="9"/>
      <c r="F788" s="3"/>
      <c r="G788" s="6"/>
      <c r="H788" s="7"/>
      <c r="I788" s="8"/>
      <c r="J788" s="12"/>
    </row>
    <row r="789" spans="1:10" x14ac:dyDescent="0.25">
      <c r="A789" s="2"/>
      <c r="B789" s="3"/>
      <c r="C789" s="4"/>
      <c r="D789" s="5"/>
      <c r="E789" s="9"/>
      <c r="F789" s="3"/>
      <c r="G789" s="6"/>
      <c r="H789" s="7"/>
      <c r="I789" s="8"/>
      <c r="J789" s="12"/>
    </row>
    <row r="790" spans="1:10" x14ac:dyDescent="0.25">
      <c r="A790" s="2"/>
      <c r="B790" s="3"/>
      <c r="C790" s="4"/>
      <c r="D790" s="5"/>
      <c r="E790" s="9"/>
      <c r="F790" s="3"/>
      <c r="G790" s="6"/>
      <c r="H790" s="7"/>
      <c r="I790" s="8"/>
      <c r="J790" s="12"/>
    </row>
    <row r="791" spans="1:10" x14ac:dyDescent="0.25">
      <c r="A791" s="2"/>
      <c r="B791" s="3"/>
      <c r="C791" s="4"/>
      <c r="D791" s="5"/>
      <c r="E791" s="9"/>
      <c r="F791" s="3"/>
      <c r="G791" s="6"/>
      <c r="H791" s="7"/>
      <c r="I791" s="8"/>
      <c r="J791" s="12"/>
    </row>
    <row r="792" spans="1:10" x14ac:dyDescent="0.25">
      <c r="A792" s="2"/>
      <c r="B792" s="3"/>
      <c r="C792" s="4"/>
      <c r="D792" s="5"/>
      <c r="E792" s="9"/>
      <c r="F792" s="3"/>
      <c r="G792" s="6"/>
      <c r="H792" s="7"/>
      <c r="I792" s="8"/>
      <c r="J792" s="12"/>
    </row>
    <row r="793" spans="1:10" x14ac:dyDescent="0.25">
      <c r="A793" s="2"/>
      <c r="B793" s="3"/>
      <c r="C793" s="4"/>
      <c r="D793" s="5"/>
      <c r="E793" s="9"/>
      <c r="F793" s="3"/>
      <c r="G793" s="6"/>
      <c r="H793" s="7"/>
      <c r="I793" s="8"/>
      <c r="J793" s="12"/>
    </row>
    <row r="794" spans="1:10" x14ac:dyDescent="0.25">
      <c r="A794" s="2"/>
      <c r="B794" s="3"/>
      <c r="C794" s="4"/>
      <c r="D794" s="5"/>
      <c r="E794" s="9"/>
      <c r="F794" s="3"/>
      <c r="G794" s="6"/>
      <c r="H794" s="7"/>
      <c r="I794" s="8"/>
      <c r="J794" s="12"/>
    </row>
    <row r="795" spans="1:10" x14ac:dyDescent="0.25">
      <c r="A795" s="2"/>
      <c r="B795" s="3"/>
      <c r="C795" s="4"/>
      <c r="D795" s="5"/>
      <c r="E795" s="9"/>
      <c r="F795" s="3"/>
      <c r="G795" s="6"/>
      <c r="H795" s="7"/>
      <c r="I795" s="8"/>
      <c r="J795" s="12"/>
    </row>
    <row r="796" spans="1:10" x14ac:dyDescent="0.25">
      <c r="A796" s="2"/>
      <c r="B796" s="3"/>
      <c r="C796" s="4"/>
      <c r="D796" s="5"/>
      <c r="E796" s="9"/>
      <c r="F796" s="3"/>
      <c r="G796" s="6"/>
      <c r="H796" s="7"/>
      <c r="I796" s="8"/>
      <c r="J796" s="12"/>
    </row>
    <row r="797" spans="1:10" x14ac:dyDescent="0.25">
      <c r="A797" s="2"/>
      <c r="B797" s="3"/>
      <c r="C797" s="4"/>
      <c r="D797" s="5"/>
      <c r="E797" s="9"/>
      <c r="F797" s="3"/>
      <c r="G797" s="6"/>
      <c r="H797" s="7"/>
      <c r="I797" s="8"/>
      <c r="J797" s="12"/>
    </row>
    <row r="798" spans="1:10" x14ac:dyDescent="0.25">
      <c r="A798" s="2"/>
      <c r="B798" s="3"/>
      <c r="C798" s="4"/>
      <c r="D798" s="5"/>
      <c r="E798" s="9"/>
      <c r="F798" s="3"/>
      <c r="G798" s="6"/>
      <c r="H798" s="7"/>
      <c r="I798" s="8"/>
      <c r="J798" s="12"/>
    </row>
    <row r="799" spans="1:10" x14ac:dyDescent="0.25">
      <c r="A799" s="2"/>
      <c r="B799" s="3"/>
      <c r="C799" s="4"/>
      <c r="D799" s="5"/>
      <c r="E799" s="9"/>
      <c r="F799" s="3"/>
      <c r="G799" s="6"/>
      <c r="H799" s="7"/>
      <c r="I799" s="8"/>
      <c r="J799" s="12"/>
    </row>
    <row r="800" spans="1:10" x14ac:dyDescent="0.25">
      <c r="A800" s="2"/>
      <c r="B800" s="3"/>
      <c r="C800" s="4"/>
      <c r="D800" s="5"/>
      <c r="E800" s="9"/>
      <c r="F800" s="3"/>
      <c r="G800" s="6"/>
      <c r="H800" s="7"/>
      <c r="I800" s="8"/>
      <c r="J800" s="12"/>
    </row>
    <row r="801" spans="1:10" x14ac:dyDescent="0.25">
      <c r="A801" s="2"/>
      <c r="B801" s="3"/>
      <c r="C801" s="4"/>
      <c r="D801" s="5"/>
      <c r="E801" s="9"/>
      <c r="F801" s="3"/>
      <c r="G801" s="6"/>
      <c r="H801" s="7"/>
      <c r="I801" s="8"/>
      <c r="J801" s="12"/>
    </row>
    <row r="802" spans="1:10" x14ac:dyDescent="0.25">
      <c r="A802" s="2"/>
      <c r="B802" s="3"/>
      <c r="C802" s="4"/>
      <c r="D802" s="5"/>
      <c r="E802" s="9"/>
      <c r="F802" s="3"/>
      <c r="G802" s="6"/>
      <c r="H802" s="7"/>
      <c r="I802" s="8"/>
      <c r="J802" s="12"/>
    </row>
    <row r="803" spans="1:10" x14ac:dyDescent="0.25">
      <c r="A803" s="2"/>
      <c r="B803" s="3"/>
      <c r="C803" s="4"/>
      <c r="D803" s="5"/>
      <c r="E803" s="9"/>
      <c r="F803" s="3"/>
      <c r="G803" s="6"/>
      <c r="H803" s="7"/>
      <c r="I803" s="8"/>
      <c r="J803" s="12"/>
    </row>
    <row r="804" spans="1:10" x14ac:dyDescent="0.25">
      <c r="A804" s="2"/>
      <c r="B804" s="3"/>
      <c r="C804" s="4"/>
      <c r="D804" s="5"/>
      <c r="E804" s="9"/>
      <c r="F804" s="3"/>
      <c r="G804" s="6"/>
      <c r="H804" s="7"/>
      <c r="I804" s="8"/>
      <c r="J804" s="12"/>
    </row>
    <row r="805" spans="1:10" x14ac:dyDescent="0.25">
      <c r="A805" s="2"/>
      <c r="B805" s="3"/>
      <c r="C805" s="4"/>
      <c r="D805" s="5"/>
      <c r="E805" s="9"/>
      <c r="F805" s="3"/>
      <c r="G805" s="6"/>
      <c r="H805" s="7"/>
      <c r="I805" s="8"/>
      <c r="J805" s="12"/>
    </row>
    <row r="806" spans="1:10" x14ac:dyDescent="0.25">
      <c r="A806" s="2"/>
      <c r="B806" s="3"/>
      <c r="C806" s="4"/>
      <c r="D806" s="5"/>
      <c r="E806" s="9"/>
      <c r="F806" s="3"/>
      <c r="G806" s="6"/>
      <c r="H806" s="7"/>
      <c r="I806" s="8"/>
      <c r="J806" s="12"/>
    </row>
    <row r="807" spans="1:10" x14ac:dyDescent="0.25">
      <c r="A807" s="2"/>
      <c r="B807" s="3"/>
      <c r="C807" s="4"/>
      <c r="D807" s="5"/>
      <c r="E807" s="9"/>
      <c r="F807" s="3"/>
      <c r="G807" s="6"/>
      <c r="H807" s="7"/>
      <c r="I807" s="8"/>
      <c r="J807" s="12"/>
    </row>
    <row r="808" spans="1:10" x14ac:dyDescent="0.25">
      <c r="A808" s="2"/>
      <c r="B808" s="3"/>
      <c r="C808" s="4"/>
      <c r="D808" s="5"/>
      <c r="E808" s="9"/>
      <c r="F808" s="3"/>
      <c r="G808" s="6"/>
      <c r="H808" s="7"/>
      <c r="I808" s="8"/>
      <c r="J808" s="12"/>
    </row>
    <row r="809" spans="1:10" x14ac:dyDescent="0.25">
      <c r="A809" s="2"/>
      <c r="B809" s="3"/>
      <c r="C809" s="4"/>
      <c r="D809" s="5"/>
      <c r="E809" s="9"/>
      <c r="F809" s="3"/>
      <c r="G809" s="6"/>
      <c r="H809" s="7"/>
      <c r="I809" s="8"/>
      <c r="J809" s="12"/>
    </row>
    <row r="810" spans="1:10" x14ac:dyDescent="0.25">
      <c r="A810" s="2"/>
      <c r="B810" s="3"/>
      <c r="C810" s="4"/>
      <c r="D810" s="5"/>
      <c r="E810" s="9"/>
      <c r="F810" s="3"/>
      <c r="G810" s="6"/>
      <c r="H810" s="7"/>
      <c r="I810" s="8"/>
      <c r="J810" s="12"/>
    </row>
    <row r="811" spans="1:10" x14ac:dyDescent="0.25">
      <c r="A811" s="2"/>
      <c r="B811" s="3"/>
      <c r="C811" s="4"/>
      <c r="D811" s="5"/>
      <c r="E811" s="9"/>
      <c r="F811" s="3"/>
      <c r="G811" s="6"/>
      <c r="H811" s="7"/>
      <c r="I811" s="8"/>
      <c r="J811" s="12"/>
    </row>
    <row r="812" spans="1:10" x14ac:dyDescent="0.25">
      <c r="A812" s="2"/>
      <c r="B812" s="3"/>
      <c r="C812" s="4"/>
      <c r="D812" s="5"/>
      <c r="E812" s="9"/>
      <c r="F812" s="3"/>
      <c r="G812" s="6"/>
      <c r="H812" s="7"/>
      <c r="I812" s="8"/>
      <c r="J812" s="12"/>
    </row>
    <row r="813" spans="1:10" x14ac:dyDescent="0.25">
      <c r="A813" s="2"/>
      <c r="B813" s="3"/>
      <c r="C813" s="4"/>
      <c r="D813" s="5"/>
      <c r="E813" s="9"/>
      <c r="F813" s="3"/>
      <c r="G813" s="6"/>
      <c r="H813" s="7"/>
      <c r="I813" s="8"/>
      <c r="J813" s="12"/>
    </row>
    <row r="814" spans="1:10" x14ac:dyDescent="0.25">
      <c r="A814" s="2"/>
      <c r="B814" s="3"/>
      <c r="C814" s="4"/>
      <c r="D814" s="5"/>
      <c r="E814" s="9"/>
      <c r="F814" s="3"/>
      <c r="G814" s="6"/>
      <c r="H814" s="7"/>
      <c r="I814" s="8"/>
      <c r="J814" s="12"/>
    </row>
    <row r="815" spans="1:10" x14ac:dyDescent="0.25">
      <c r="A815" s="2"/>
      <c r="B815" s="3"/>
      <c r="C815" s="4"/>
      <c r="D815" s="5"/>
      <c r="E815" s="9"/>
      <c r="F815" s="3"/>
      <c r="G815" s="6"/>
      <c r="H815" s="7"/>
      <c r="I815" s="8"/>
      <c r="J815" s="12"/>
    </row>
    <row r="816" spans="1:10" x14ac:dyDescent="0.25">
      <c r="A816" s="2"/>
      <c r="B816" s="3"/>
      <c r="C816" s="4"/>
      <c r="D816" s="5"/>
      <c r="E816" s="9"/>
      <c r="F816" s="3"/>
      <c r="G816" s="6"/>
      <c r="H816" s="7"/>
      <c r="I816" s="8"/>
      <c r="J816" s="12"/>
    </row>
    <row r="817" spans="1:10" x14ac:dyDescent="0.25">
      <c r="A817" s="2"/>
      <c r="B817" s="3"/>
      <c r="C817" s="4"/>
      <c r="D817" s="5"/>
      <c r="E817" s="9"/>
      <c r="F817" s="3"/>
      <c r="G817" s="6"/>
      <c r="H817" s="7"/>
      <c r="I817" s="8"/>
      <c r="J817" s="12"/>
    </row>
    <row r="818" spans="1:10" x14ac:dyDescent="0.25">
      <c r="A818" s="2"/>
      <c r="B818" s="3"/>
      <c r="C818" s="4"/>
      <c r="D818" s="5"/>
      <c r="E818" s="9"/>
      <c r="F818" s="3"/>
      <c r="G818" s="6"/>
      <c r="H818" s="7"/>
      <c r="I818" s="8"/>
      <c r="J818" s="12"/>
    </row>
    <row r="819" spans="1:10" x14ac:dyDescent="0.25">
      <c r="A819" s="2"/>
      <c r="B819" s="3"/>
      <c r="C819" s="4"/>
      <c r="D819" s="5"/>
      <c r="E819" s="9"/>
      <c r="F819" s="3"/>
      <c r="G819" s="6"/>
      <c r="H819" s="7"/>
      <c r="I819" s="8"/>
      <c r="J819" s="12"/>
    </row>
    <row r="820" spans="1:10" x14ac:dyDescent="0.25">
      <c r="A820" s="2"/>
      <c r="B820" s="3"/>
      <c r="C820" s="4"/>
      <c r="D820" s="5"/>
      <c r="E820" s="9"/>
      <c r="F820" s="3"/>
      <c r="G820" s="6"/>
      <c r="H820" s="7"/>
      <c r="I820" s="8"/>
      <c r="J820" s="12"/>
    </row>
    <row r="821" spans="1:10" x14ac:dyDescent="0.25">
      <c r="A821" s="2"/>
      <c r="B821" s="3"/>
      <c r="C821" s="4"/>
      <c r="D821" s="5"/>
      <c r="E821" s="9"/>
      <c r="F821" s="3"/>
      <c r="G821" s="6"/>
      <c r="H821" s="7"/>
      <c r="I821" s="8"/>
      <c r="J821" s="12"/>
    </row>
    <row r="822" spans="1:10" x14ac:dyDescent="0.25">
      <c r="A822" s="2"/>
      <c r="B822" s="3"/>
      <c r="C822" s="4"/>
      <c r="D822" s="5"/>
      <c r="E822" s="9"/>
      <c r="F822" s="3"/>
      <c r="G822" s="6"/>
      <c r="H822" s="7"/>
      <c r="I822" s="8"/>
      <c r="J822" s="12"/>
    </row>
    <row r="823" spans="1:10" x14ac:dyDescent="0.25">
      <c r="A823" s="2"/>
      <c r="B823" s="3"/>
      <c r="C823" s="4"/>
      <c r="D823" s="5"/>
      <c r="E823" s="9"/>
      <c r="F823" s="3"/>
      <c r="G823" s="6"/>
      <c r="H823" s="7"/>
      <c r="I823" s="8"/>
      <c r="J823" s="12"/>
    </row>
    <row r="824" spans="1:10" x14ac:dyDescent="0.25">
      <c r="A824" s="2"/>
      <c r="B824" s="3"/>
      <c r="C824" s="4"/>
      <c r="D824" s="5"/>
      <c r="E824" s="9"/>
      <c r="F824" s="3"/>
      <c r="G824" s="6"/>
      <c r="H824" s="7"/>
      <c r="I824" s="8"/>
      <c r="J824" s="12"/>
    </row>
    <row r="825" spans="1:10" x14ac:dyDescent="0.25">
      <c r="A825" s="2"/>
      <c r="B825" s="3"/>
      <c r="C825" s="4"/>
      <c r="D825" s="5"/>
      <c r="E825" s="9"/>
      <c r="F825" s="3"/>
      <c r="G825" s="6"/>
      <c r="H825" s="7"/>
      <c r="I825" s="8"/>
      <c r="J825" s="12"/>
    </row>
    <row r="826" spans="1:10" x14ac:dyDescent="0.25">
      <c r="A826" s="2"/>
      <c r="B826" s="3"/>
      <c r="C826" s="4"/>
      <c r="D826" s="5"/>
      <c r="E826" s="9"/>
      <c r="F826" s="3"/>
      <c r="G826" s="6"/>
      <c r="H826" s="7"/>
      <c r="I826" s="8"/>
      <c r="J826" s="12"/>
    </row>
    <row r="827" spans="1:10" x14ac:dyDescent="0.25">
      <c r="A827" s="2"/>
      <c r="B827" s="3"/>
      <c r="C827" s="4"/>
      <c r="D827" s="5"/>
      <c r="E827" s="9"/>
      <c r="F827" s="3"/>
      <c r="G827" s="6"/>
      <c r="H827" s="7"/>
      <c r="I827" s="8"/>
      <c r="J827" s="12"/>
    </row>
    <row r="828" spans="1:10" x14ac:dyDescent="0.25">
      <c r="A828" s="2"/>
      <c r="B828" s="3"/>
      <c r="C828" s="4"/>
      <c r="D828" s="5"/>
      <c r="E828" s="9"/>
      <c r="F828" s="3"/>
      <c r="G828" s="6"/>
      <c r="H828" s="7"/>
      <c r="I828" s="8"/>
      <c r="J828" s="12"/>
    </row>
    <row r="829" spans="1:10" x14ac:dyDescent="0.25">
      <c r="A829" s="2"/>
      <c r="B829" s="3"/>
      <c r="C829" s="4"/>
      <c r="D829" s="5"/>
      <c r="E829" s="9"/>
      <c r="F829" s="3"/>
      <c r="G829" s="6"/>
      <c r="H829" s="7"/>
      <c r="I829" s="8"/>
      <c r="J829" s="12"/>
    </row>
    <row r="830" spans="1:10" x14ac:dyDescent="0.25">
      <c r="A830" s="2"/>
      <c r="B830" s="3"/>
      <c r="C830" s="4"/>
      <c r="D830" s="5"/>
      <c r="E830" s="9"/>
      <c r="F830" s="3"/>
      <c r="G830" s="6"/>
      <c r="H830" s="7"/>
      <c r="I830" s="8"/>
      <c r="J830" s="12"/>
    </row>
    <row r="831" spans="1:10" x14ac:dyDescent="0.25">
      <c r="A831" s="2"/>
      <c r="B831" s="3"/>
      <c r="C831" s="4"/>
      <c r="D831" s="5"/>
      <c r="E831" s="9"/>
      <c r="F831" s="3"/>
      <c r="G831" s="6"/>
      <c r="H831" s="7"/>
      <c r="I831" s="8"/>
      <c r="J831" s="12"/>
    </row>
    <row r="832" spans="1:10" x14ac:dyDescent="0.25">
      <c r="A832" s="2"/>
      <c r="B832" s="3"/>
      <c r="C832" s="4"/>
      <c r="D832" s="5"/>
      <c r="E832" s="9"/>
      <c r="F832" s="3"/>
      <c r="G832" s="6"/>
      <c r="H832" s="7"/>
      <c r="I832" s="8"/>
      <c r="J832" s="12"/>
    </row>
    <row r="833" spans="1:10" x14ac:dyDescent="0.25">
      <c r="A833" s="2"/>
      <c r="B833" s="3"/>
      <c r="C833" s="4"/>
      <c r="D833" s="5"/>
      <c r="E833" s="9"/>
      <c r="F833" s="3"/>
      <c r="G833" s="6"/>
      <c r="H833" s="7"/>
      <c r="I833" s="8"/>
      <c r="J833" s="12"/>
    </row>
    <row r="834" spans="1:10" x14ac:dyDescent="0.25">
      <c r="A834" s="2"/>
      <c r="B834" s="3"/>
      <c r="C834" s="4"/>
      <c r="D834" s="5"/>
      <c r="E834" s="9"/>
      <c r="F834" s="3"/>
      <c r="G834" s="6"/>
      <c r="H834" s="7"/>
      <c r="I834" s="8"/>
      <c r="J834" s="12"/>
    </row>
    <row r="835" spans="1:10" x14ac:dyDescent="0.25">
      <c r="A835" s="2"/>
      <c r="B835" s="3"/>
      <c r="C835" s="4"/>
      <c r="D835" s="5"/>
      <c r="E835" s="9"/>
      <c r="F835" s="3"/>
      <c r="G835" s="6"/>
      <c r="H835" s="7"/>
      <c r="I835" s="8"/>
      <c r="J835" s="12"/>
    </row>
    <row r="836" spans="1:10" x14ac:dyDescent="0.25">
      <c r="A836" s="2"/>
      <c r="B836" s="3"/>
      <c r="C836" s="4"/>
      <c r="D836" s="5"/>
      <c r="E836" s="9"/>
      <c r="F836" s="3"/>
      <c r="G836" s="6"/>
      <c r="H836" s="7"/>
      <c r="I836" s="8"/>
      <c r="J836" s="12"/>
    </row>
    <row r="837" spans="1:10" x14ac:dyDescent="0.25">
      <c r="A837" s="2"/>
      <c r="B837" s="3"/>
      <c r="C837" s="4"/>
      <c r="D837" s="5"/>
      <c r="E837" s="9"/>
      <c r="F837" s="3"/>
      <c r="G837" s="6"/>
      <c r="H837" s="7"/>
      <c r="I837" s="8"/>
      <c r="J837" s="12"/>
    </row>
    <row r="838" spans="1:10" x14ac:dyDescent="0.25">
      <c r="A838" s="2"/>
      <c r="B838" s="3"/>
      <c r="C838" s="4"/>
      <c r="D838" s="5"/>
      <c r="E838" s="9"/>
      <c r="F838" s="3"/>
      <c r="G838" s="6"/>
      <c r="H838" s="7"/>
      <c r="I838" s="8"/>
      <c r="J838" s="12"/>
    </row>
    <row r="839" spans="1:10" x14ac:dyDescent="0.25">
      <c r="A839" s="2"/>
      <c r="B839" s="3"/>
      <c r="C839" s="4"/>
      <c r="D839" s="5"/>
      <c r="E839" s="9"/>
      <c r="F839" s="3"/>
      <c r="G839" s="6"/>
      <c r="H839" s="7"/>
      <c r="I839" s="8"/>
      <c r="J839" s="12"/>
    </row>
    <row r="840" spans="1:10" x14ac:dyDescent="0.25">
      <c r="A840" s="2"/>
      <c r="B840" s="3"/>
      <c r="C840" s="4"/>
      <c r="D840" s="5"/>
      <c r="E840" s="9"/>
      <c r="F840" s="3"/>
      <c r="G840" s="6"/>
      <c r="H840" s="7"/>
      <c r="I840" s="8"/>
      <c r="J840" s="12"/>
    </row>
    <row r="841" spans="1:10" x14ac:dyDescent="0.25">
      <c r="A841" s="2"/>
      <c r="B841" s="3"/>
      <c r="C841" s="4"/>
      <c r="D841" s="5"/>
      <c r="E841" s="9"/>
      <c r="F841" s="3"/>
      <c r="G841" s="6"/>
      <c r="H841" s="7"/>
      <c r="I841" s="8"/>
      <c r="J841" s="12"/>
    </row>
    <row r="842" spans="1:10" x14ac:dyDescent="0.25">
      <c r="A842" s="2"/>
      <c r="B842" s="3"/>
      <c r="C842" s="4"/>
      <c r="D842" s="5"/>
      <c r="E842" s="9"/>
      <c r="F842" s="3"/>
      <c r="G842" s="6"/>
      <c r="H842" s="7"/>
      <c r="I842" s="8"/>
      <c r="J842" s="12"/>
    </row>
    <row r="843" spans="1:10" x14ac:dyDescent="0.25">
      <c r="A843" s="2"/>
      <c r="B843" s="3"/>
      <c r="C843" s="4"/>
      <c r="D843" s="5"/>
      <c r="E843" s="9"/>
      <c r="F843" s="3"/>
      <c r="G843" s="6"/>
      <c r="H843" s="7"/>
      <c r="I843" s="8"/>
      <c r="J843" s="12"/>
    </row>
    <row r="844" spans="1:10" x14ac:dyDescent="0.25">
      <c r="A844" s="2"/>
      <c r="B844" s="3"/>
      <c r="C844" s="4"/>
      <c r="D844" s="5"/>
      <c r="E844" s="9"/>
      <c r="F844" s="3"/>
      <c r="G844" s="6"/>
      <c r="H844" s="7"/>
      <c r="I844" s="8"/>
      <c r="J844" s="12"/>
    </row>
    <row r="845" spans="1:10" x14ac:dyDescent="0.25">
      <c r="A845" s="2"/>
      <c r="B845" s="3"/>
      <c r="C845" s="4"/>
      <c r="D845" s="5"/>
      <c r="E845" s="9"/>
      <c r="F845" s="3"/>
      <c r="G845" s="6"/>
      <c r="H845" s="7"/>
      <c r="I845" s="8"/>
      <c r="J845" s="12"/>
    </row>
    <row r="846" spans="1:10" x14ac:dyDescent="0.25">
      <c r="A846" s="2"/>
      <c r="B846" s="3"/>
      <c r="C846" s="4"/>
      <c r="D846" s="5"/>
      <c r="E846" s="9"/>
      <c r="F846" s="3"/>
      <c r="G846" s="6"/>
      <c r="H846" s="7"/>
      <c r="I846" s="8"/>
      <c r="J846" s="12"/>
    </row>
    <row r="847" spans="1:10" x14ac:dyDescent="0.25">
      <c r="A847" s="2"/>
      <c r="B847" s="3"/>
      <c r="C847" s="4"/>
      <c r="D847" s="5"/>
      <c r="E847" s="9"/>
      <c r="F847" s="3"/>
      <c r="G847" s="6"/>
      <c r="H847" s="7"/>
      <c r="I847" s="8"/>
      <c r="J847" s="12"/>
    </row>
    <row r="848" spans="1:10" x14ac:dyDescent="0.25">
      <c r="A848" s="2"/>
      <c r="B848" s="3"/>
      <c r="C848" s="4"/>
      <c r="D848" s="5"/>
      <c r="E848" s="9"/>
      <c r="F848" s="3"/>
      <c r="G848" s="6"/>
      <c r="H848" s="7"/>
      <c r="I848" s="8"/>
      <c r="J848" s="12"/>
    </row>
    <row r="849" spans="1:10" x14ac:dyDescent="0.25">
      <c r="A849" s="2"/>
      <c r="B849" s="3"/>
      <c r="C849" s="4"/>
      <c r="D849" s="5"/>
      <c r="E849" s="9"/>
      <c r="F849" s="3"/>
      <c r="G849" s="6"/>
      <c r="H849" s="7"/>
      <c r="I849" s="8"/>
      <c r="J849" s="12"/>
    </row>
    <row r="850" spans="1:10" x14ac:dyDescent="0.25">
      <c r="A850" s="2"/>
      <c r="B850" s="3"/>
      <c r="C850" s="4"/>
      <c r="D850" s="5"/>
      <c r="E850" s="9"/>
      <c r="F850" s="3"/>
      <c r="G850" s="6"/>
      <c r="H850" s="7"/>
      <c r="I850" s="8"/>
      <c r="J850" s="12"/>
    </row>
    <row r="851" spans="1:10" x14ac:dyDescent="0.25">
      <c r="A851" s="2"/>
      <c r="B851" s="3"/>
      <c r="C851" s="4"/>
      <c r="D851" s="5"/>
      <c r="E851" s="9"/>
      <c r="F851" s="3"/>
      <c r="G851" s="6"/>
      <c r="H851" s="7"/>
      <c r="I851" s="8"/>
      <c r="J851" s="12"/>
    </row>
    <row r="852" spans="1:10" x14ac:dyDescent="0.25">
      <c r="A852" s="2"/>
      <c r="B852" s="3"/>
      <c r="C852" s="4"/>
      <c r="D852" s="5"/>
      <c r="E852" s="9"/>
      <c r="F852" s="3"/>
      <c r="G852" s="6"/>
      <c r="H852" s="7"/>
      <c r="I852" s="8"/>
      <c r="J852" s="12"/>
    </row>
    <row r="853" spans="1:10" x14ac:dyDescent="0.25">
      <c r="A853" s="2"/>
      <c r="B853" s="3"/>
      <c r="C853" s="4"/>
      <c r="D853" s="5"/>
      <c r="E853" s="9"/>
      <c r="F853" s="3"/>
      <c r="G853" s="6"/>
      <c r="H853" s="7"/>
      <c r="I853" s="8"/>
      <c r="J853" s="12"/>
    </row>
    <row r="854" spans="1:10" x14ac:dyDescent="0.25">
      <c r="A854" s="2"/>
      <c r="B854" s="3"/>
      <c r="C854" s="4"/>
      <c r="D854" s="5"/>
      <c r="E854" s="9"/>
      <c r="F854" s="3"/>
      <c r="G854" s="6"/>
      <c r="H854" s="7"/>
      <c r="I854" s="8"/>
      <c r="J854" s="12"/>
    </row>
    <row r="855" spans="1:10" x14ac:dyDescent="0.25">
      <c r="A855" s="2"/>
      <c r="B855" s="3"/>
      <c r="C855" s="4"/>
      <c r="D855" s="5"/>
      <c r="E855" s="9"/>
      <c r="F855" s="3"/>
      <c r="G855" s="6"/>
      <c r="H855" s="7"/>
      <c r="I855" s="8"/>
      <c r="J855" s="12"/>
    </row>
    <row r="856" spans="1:10" x14ac:dyDescent="0.25">
      <c r="A856" s="2"/>
      <c r="B856" s="3"/>
      <c r="C856" s="4"/>
      <c r="D856" s="5"/>
      <c r="E856" s="9"/>
      <c r="F856" s="3"/>
      <c r="G856" s="6"/>
      <c r="H856" s="7"/>
      <c r="I856" s="8"/>
      <c r="J856" s="12"/>
    </row>
    <row r="857" spans="1:10" x14ac:dyDescent="0.25">
      <c r="A857" s="2"/>
      <c r="B857" s="3"/>
      <c r="C857" s="4"/>
      <c r="D857" s="5"/>
      <c r="E857" s="9"/>
      <c r="F857" s="3"/>
      <c r="G857" s="6"/>
      <c r="H857" s="7"/>
      <c r="I857" s="8"/>
      <c r="J857" s="12"/>
    </row>
    <row r="858" spans="1:10" x14ac:dyDescent="0.25">
      <c r="A858" s="2"/>
      <c r="B858" s="3"/>
      <c r="C858" s="4"/>
      <c r="D858" s="5"/>
      <c r="E858" s="9"/>
      <c r="F858" s="3"/>
      <c r="G858" s="6"/>
      <c r="H858" s="7"/>
      <c r="I858" s="8"/>
      <c r="J858" s="12"/>
    </row>
    <row r="859" spans="1:10" x14ac:dyDescent="0.25">
      <c r="A859" s="2"/>
      <c r="B859" s="3"/>
      <c r="C859" s="4"/>
      <c r="D859" s="5"/>
      <c r="E859" s="9"/>
      <c r="F859" s="3"/>
      <c r="G859" s="6"/>
      <c r="H859" s="7"/>
      <c r="I859" s="8"/>
      <c r="J859" s="12"/>
    </row>
    <row r="860" spans="1:10" x14ac:dyDescent="0.25">
      <c r="A860" s="2"/>
      <c r="B860" s="3"/>
      <c r="C860" s="4"/>
      <c r="D860" s="5"/>
      <c r="E860" s="9"/>
      <c r="F860" s="3"/>
      <c r="G860" s="6"/>
      <c r="H860" s="7"/>
      <c r="I860" s="8"/>
      <c r="J860" s="12"/>
    </row>
    <row r="861" spans="1:10" x14ac:dyDescent="0.25">
      <c r="A861" s="2"/>
      <c r="B861" s="3"/>
      <c r="C861" s="4"/>
      <c r="D861" s="5"/>
      <c r="E861" s="9"/>
      <c r="F861" s="3"/>
      <c r="G861" s="6"/>
      <c r="H861" s="7"/>
      <c r="I861" s="8"/>
      <c r="J861" s="12"/>
    </row>
    <row r="862" spans="1:10" x14ac:dyDescent="0.25">
      <c r="A862" s="2"/>
      <c r="B862" s="3"/>
      <c r="C862" s="4"/>
      <c r="D862" s="5"/>
      <c r="E862" s="9"/>
      <c r="F862" s="3"/>
      <c r="G862" s="6"/>
      <c r="H862" s="7"/>
      <c r="I862" s="8"/>
      <c r="J862" s="12"/>
    </row>
    <row r="863" spans="1:10" x14ac:dyDescent="0.25">
      <c r="A863" s="2"/>
      <c r="B863" s="3"/>
      <c r="C863" s="4"/>
      <c r="D863" s="5"/>
      <c r="E863" s="9"/>
      <c r="F863" s="3"/>
      <c r="G863" s="6"/>
      <c r="H863" s="7"/>
      <c r="I863" s="8"/>
      <c r="J863" s="12"/>
    </row>
    <row r="864" spans="1:10" x14ac:dyDescent="0.25">
      <c r="A864" s="2"/>
      <c r="B864" s="3"/>
      <c r="C864" s="4"/>
      <c r="D864" s="5"/>
      <c r="E864" s="9"/>
      <c r="F864" s="3"/>
      <c r="G864" s="6"/>
      <c r="H864" s="7"/>
      <c r="I864" s="8"/>
      <c r="J864" s="12"/>
    </row>
    <row r="865" spans="1:10" x14ac:dyDescent="0.25">
      <c r="A865" s="2"/>
      <c r="B865" s="3"/>
      <c r="C865" s="4"/>
      <c r="D865" s="5"/>
      <c r="E865" s="9"/>
      <c r="F865" s="3"/>
      <c r="G865" s="6"/>
      <c r="H865" s="7"/>
      <c r="I865" s="8"/>
      <c r="J865" s="12"/>
    </row>
    <row r="866" spans="1:10" x14ac:dyDescent="0.25">
      <c r="A866" s="2"/>
      <c r="B866" s="3"/>
      <c r="C866" s="4"/>
      <c r="D866" s="5"/>
      <c r="E866" s="9"/>
      <c r="F866" s="3"/>
      <c r="G866" s="6"/>
      <c r="H866" s="7"/>
      <c r="I866" s="8"/>
      <c r="J866" s="12"/>
    </row>
    <row r="867" spans="1:10" x14ac:dyDescent="0.25">
      <c r="A867" s="2"/>
      <c r="B867" s="3"/>
      <c r="C867" s="4"/>
      <c r="D867" s="5"/>
      <c r="E867" s="9"/>
      <c r="F867" s="3"/>
      <c r="G867" s="6"/>
      <c r="H867" s="7"/>
      <c r="I867" s="8"/>
      <c r="J867" s="12"/>
    </row>
    <row r="868" spans="1:10" x14ac:dyDescent="0.25">
      <c r="A868" s="2"/>
      <c r="B868" s="3"/>
      <c r="C868" s="4"/>
      <c r="D868" s="5"/>
      <c r="E868" s="9"/>
      <c r="F868" s="3"/>
      <c r="G868" s="6"/>
      <c r="H868" s="7"/>
      <c r="I868" s="8"/>
      <c r="J868" s="12"/>
    </row>
    <row r="869" spans="1:10" x14ac:dyDescent="0.25">
      <c r="A869" s="2"/>
      <c r="B869" s="3"/>
      <c r="C869" s="4"/>
      <c r="D869" s="5"/>
      <c r="E869" s="9"/>
      <c r="F869" s="3"/>
      <c r="G869" s="6"/>
      <c r="H869" s="7"/>
      <c r="I869" s="8"/>
      <c r="J869" s="12"/>
    </row>
    <row r="870" spans="1:10" x14ac:dyDescent="0.25">
      <c r="A870" s="2"/>
      <c r="B870" s="3"/>
      <c r="C870" s="4"/>
      <c r="D870" s="5"/>
      <c r="E870" s="9"/>
      <c r="F870" s="3"/>
      <c r="G870" s="6"/>
      <c r="H870" s="7"/>
      <c r="I870" s="8"/>
      <c r="J870" s="12"/>
    </row>
    <row r="871" spans="1:10" x14ac:dyDescent="0.25">
      <c r="A871" s="2"/>
      <c r="B871" s="3"/>
      <c r="C871" s="4"/>
      <c r="D871" s="5"/>
      <c r="E871" s="9"/>
      <c r="F871" s="3"/>
      <c r="G871" s="6"/>
      <c r="H871" s="7"/>
      <c r="I871" s="8"/>
      <c r="J871" s="12"/>
    </row>
    <row r="872" spans="1:10" x14ac:dyDescent="0.25">
      <c r="A872" s="2"/>
      <c r="B872" s="3"/>
      <c r="C872" s="4"/>
      <c r="D872" s="5"/>
      <c r="E872" s="9"/>
      <c r="F872" s="3"/>
      <c r="G872" s="6"/>
      <c r="H872" s="7"/>
      <c r="I872" s="8"/>
      <c r="J872" s="12"/>
    </row>
    <row r="873" spans="1:10" x14ac:dyDescent="0.25">
      <c r="A873" s="2"/>
      <c r="B873" s="3"/>
      <c r="C873" s="4"/>
      <c r="D873" s="5"/>
      <c r="E873" s="9"/>
      <c r="F873" s="3"/>
      <c r="G873" s="6"/>
      <c r="H873" s="7"/>
      <c r="I873" s="8"/>
      <c r="J873" s="12"/>
    </row>
    <row r="874" spans="1:10" x14ac:dyDescent="0.25">
      <c r="A874" s="2"/>
      <c r="B874" s="3"/>
      <c r="C874" s="4"/>
      <c r="D874" s="5"/>
      <c r="E874" s="9"/>
      <c r="F874" s="3"/>
      <c r="G874" s="6"/>
      <c r="H874" s="7"/>
      <c r="I874" s="8"/>
      <c r="J874" s="12"/>
    </row>
    <row r="875" spans="1:10" x14ac:dyDescent="0.25">
      <c r="A875" s="2"/>
      <c r="B875" s="3"/>
      <c r="C875" s="4"/>
      <c r="D875" s="5"/>
      <c r="E875" s="9"/>
      <c r="F875" s="3"/>
      <c r="G875" s="6"/>
      <c r="H875" s="7"/>
      <c r="I875" s="8"/>
      <c r="J875" s="12"/>
    </row>
    <row r="876" spans="1:10" x14ac:dyDescent="0.25">
      <c r="A876" s="2"/>
      <c r="B876" s="3"/>
      <c r="C876" s="4"/>
      <c r="D876" s="5"/>
      <c r="E876" s="9"/>
      <c r="F876" s="3"/>
      <c r="G876" s="6"/>
      <c r="H876" s="7"/>
      <c r="I876" s="8"/>
      <c r="J876" s="12"/>
    </row>
    <row r="877" spans="1:10" x14ac:dyDescent="0.25">
      <c r="A877" s="2"/>
      <c r="B877" s="3"/>
      <c r="C877" s="4"/>
      <c r="D877" s="5"/>
      <c r="E877" s="9"/>
      <c r="F877" s="3"/>
      <c r="G877" s="6"/>
      <c r="H877" s="7"/>
      <c r="I877" s="8"/>
      <c r="J877" s="12"/>
    </row>
    <row r="878" spans="1:10" x14ac:dyDescent="0.25">
      <c r="A878" s="2"/>
      <c r="B878" s="3"/>
      <c r="C878" s="4"/>
      <c r="D878" s="5"/>
      <c r="E878" s="9"/>
      <c r="F878" s="3"/>
      <c r="G878" s="6"/>
      <c r="H878" s="7"/>
      <c r="I878" s="8"/>
      <c r="J878" s="12"/>
    </row>
    <row r="879" spans="1:10" x14ac:dyDescent="0.25">
      <c r="A879" s="2"/>
      <c r="B879" s="3"/>
      <c r="C879" s="4"/>
      <c r="D879" s="5"/>
      <c r="E879" s="9"/>
      <c r="F879" s="3"/>
      <c r="G879" s="6"/>
      <c r="H879" s="7"/>
      <c r="I879" s="8"/>
      <c r="J879" s="12"/>
    </row>
    <row r="880" spans="1:10" x14ac:dyDescent="0.25">
      <c r="A880" s="2"/>
      <c r="B880" s="3"/>
      <c r="C880" s="4"/>
      <c r="D880" s="5"/>
      <c r="E880" s="9"/>
      <c r="F880" s="3"/>
      <c r="G880" s="6"/>
      <c r="H880" s="7"/>
      <c r="I880" s="8"/>
      <c r="J880" s="12"/>
    </row>
    <row r="881" spans="1:10" x14ac:dyDescent="0.25">
      <c r="A881" s="2"/>
      <c r="B881" s="3"/>
      <c r="C881" s="4"/>
      <c r="D881" s="5"/>
      <c r="E881" s="9"/>
      <c r="F881" s="3"/>
      <c r="G881" s="6"/>
      <c r="H881" s="7"/>
      <c r="I881" s="8"/>
      <c r="J881" s="12"/>
    </row>
    <row r="882" spans="1:10" x14ac:dyDescent="0.25">
      <c r="A882" s="2"/>
      <c r="B882" s="3"/>
      <c r="C882" s="4"/>
      <c r="D882" s="5"/>
      <c r="E882" s="9"/>
      <c r="F882" s="3"/>
      <c r="G882" s="6"/>
      <c r="H882" s="7"/>
      <c r="I882" s="8"/>
      <c r="J882" s="12"/>
    </row>
    <row r="883" spans="1:10" x14ac:dyDescent="0.25">
      <c r="A883" s="2"/>
      <c r="B883" s="3"/>
      <c r="C883" s="4"/>
      <c r="D883" s="5"/>
      <c r="E883" s="9"/>
      <c r="F883" s="3"/>
      <c r="G883" s="6"/>
      <c r="H883" s="7"/>
      <c r="I883" s="8"/>
      <c r="J883" s="12"/>
    </row>
    <row r="884" spans="1:10" x14ac:dyDescent="0.25">
      <c r="A884" s="2"/>
      <c r="B884" s="3"/>
      <c r="C884" s="4"/>
      <c r="D884" s="5"/>
      <c r="E884" s="9"/>
      <c r="F884" s="3"/>
      <c r="G884" s="6"/>
      <c r="H884" s="7"/>
      <c r="I884" s="8"/>
      <c r="J884" s="12"/>
    </row>
    <row r="885" spans="1:10" x14ac:dyDescent="0.25">
      <c r="A885" s="2"/>
      <c r="B885" s="3"/>
      <c r="C885" s="4"/>
      <c r="D885" s="5"/>
      <c r="E885" s="9"/>
      <c r="F885" s="3"/>
      <c r="G885" s="6"/>
      <c r="H885" s="7"/>
      <c r="I885" s="8"/>
      <c r="J885" s="12"/>
    </row>
    <row r="886" spans="1:10" x14ac:dyDescent="0.25">
      <c r="A886" s="2"/>
      <c r="B886" s="3"/>
      <c r="C886" s="4"/>
      <c r="D886" s="5"/>
      <c r="E886" s="9"/>
      <c r="F886" s="3"/>
      <c r="G886" s="6"/>
      <c r="H886" s="7"/>
      <c r="I886" s="8"/>
      <c r="J886" s="12"/>
    </row>
    <row r="887" spans="1:10" x14ac:dyDescent="0.25">
      <c r="A887" s="2"/>
      <c r="B887" s="3"/>
      <c r="C887" s="4"/>
      <c r="D887" s="5"/>
      <c r="E887" s="9"/>
      <c r="F887" s="3"/>
      <c r="G887" s="6"/>
      <c r="H887" s="7"/>
      <c r="I887" s="8"/>
      <c r="J887" s="12"/>
    </row>
    <row r="888" spans="1:10" x14ac:dyDescent="0.25">
      <c r="A888" s="2"/>
      <c r="B888" s="3"/>
      <c r="C888" s="4"/>
      <c r="D888" s="5"/>
      <c r="E888" s="9"/>
      <c r="F888" s="3"/>
      <c r="G888" s="6"/>
      <c r="H888" s="7"/>
      <c r="I888" s="8"/>
      <c r="J888" s="12"/>
    </row>
    <row r="889" spans="1:10" x14ac:dyDescent="0.25">
      <c r="A889" s="2"/>
      <c r="B889" s="3"/>
      <c r="C889" s="4"/>
      <c r="D889" s="5"/>
      <c r="E889" s="9"/>
      <c r="F889" s="3"/>
      <c r="G889" s="6"/>
      <c r="H889" s="7"/>
      <c r="I889" s="8"/>
      <c r="J889" s="12"/>
    </row>
    <row r="890" spans="1:10" x14ac:dyDescent="0.25">
      <c r="A890" s="2"/>
      <c r="B890" s="3"/>
      <c r="C890" s="4"/>
      <c r="D890" s="5"/>
      <c r="E890" s="9"/>
      <c r="F890" s="3"/>
      <c r="G890" s="6"/>
      <c r="H890" s="7"/>
      <c r="I890" s="8"/>
      <c r="J890" s="12"/>
    </row>
    <row r="891" spans="1:10" x14ac:dyDescent="0.25">
      <c r="A891" s="2"/>
      <c r="B891" s="3"/>
      <c r="C891" s="4"/>
      <c r="D891" s="5"/>
      <c r="E891" s="9"/>
      <c r="F891" s="3"/>
      <c r="G891" s="6"/>
      <c r="H891" s="7"/>
      <c r="I891" s="8"/>
      <c r="J891" s="12"/>
    </row>
    <row r="892" spans="1:10" x14ac:dyDescent="0.25">
      <c r="A892" s="2"/>
      <c r="B892" s="3"/>
      <c r="C892" s="4"/>
      <c r="D892" s="5"/>
      <c r="E892" s="9"/>
      <c r="F892" s="3"/>
      <c r="G892" s="6"/>
      <c r="H892" s="7"/>
      <c r="I892" s="8"/>
      <c r="J892" s="12"/>
    </row>
    <row r="893" spans="1:10" x14ac:dyDescent="0.25">
      <c r="A893" s="2"/>
      <c r="B893" s="3"/>
      <c r="C893" s="4"/>
      <c r="D893" s="5"/>
      <c r="E893" s="9"/>
      <c r="F893" s="3"/>
      <c r="G893" s="6"/>
      <c r="H893" s="7"/>
      <c r="I893" s="8"/>
      <c r="J893" s="12"/>
    </row>
    <row r="894" spans="1:10" x14ac:dyDescent="0.25">
      <c r="A894" s="2"/>
      <c r="B894" s="3"/>
      <c r="C894" s="4"/>
      <c r="D894" s="5"/>
      <c r="E894" s="9"/>
      <c r="F894" s="3"/>
      <c r="G894" s="6"/>
      <c r="H894" s="7"/>
      <c r="I894" s="8"/>
      <c r="J894" s="12"/>
    </row>
    <row r="895" spans="1:10" x14ac:dyDescent="0.25">
      <c r="A895" s="2"/>
      <c r="B895" s="3"/>
      <c r="C895" s="4"/>
      <c r="D895" s="5"/>
      <c r="E895" s="9"/>
      <c r="F895" s="3"/>
      <c r="G895" s="6"/>
      <c r="H895" s="7"/>
      <c r="I895" s="8"/>
      <c r="J895" s="12"/>
    </row>
    <row r="896" spans="1:10" x14ac:dyDescent="0.25">
      <c r="A896" s="2"/>
      <c r="B896" s="3"/>
      <c r="C896" s="4"/>
      <c r="D896" s="5"/>
      <c r="E896" s="9"/>
      <c r="F896" s="3"/>
      <c r="G896" s="6"/>
      <c r="H896" s="7"/>
      <c r="I896" s="8"/>
      <c r="J896" s="12"/>
    </row>
    <row r="897" spans="1:10" x14ac:dyDescent="0.25">
      <c r="A897" s="2"/>
      <c r="B897" s="3"/>
      <c r="C897" s="4"/>
      <c r="D897" s="5"/>
      <c r="E897" s="9"/>
      <c r="F897" s="3"/>
      <c r="G897" s="6"/>
      <c r="H897" s="7"/>
      <c r="I897" s="8"/>
      <c r="J897" s="12"/>
    </row>
    <row r="898" spans="1:10" x14ac:dyDescent="0.25">
      <c r="A898" s="2"/>
      <c r="B898" s="3"/>
      <c r="C898" s="4"/>
      <c r="D898" s="5"/>
      <c r="E898" s="9"/>
      <c r="F898" s="3"/>
      <c r="G898" s="6"/>
      <c r="H898" s="7"/>
      <c r="I898" s="8"/>
      <c r="J898" s="12"/>
    </row>
    <row r="899" spans="1:10" x14ac:dyDescent="0.25">
      <c r="A899" s="2"/>
      <c r="B899" s="3"/>
      <c r="C899" s="4"/>
      <c r="D899" s="5"/>
      <c r="E899" s="9"/>
      <c r="F899" s="3"/>
      <c r="G899" s="6"/>
      <c r="H899" s="7"/>
      <c r="I899" s="8"/>
      <c r="J899" s="12"/>
    </row>
    <row r="900" spans="1:10" x14ac:dyDescent="0.25">
      <c r="A900" s="2"/>
      <c r="B900" s="3"/>
      <c r="C900" s="4"/>
      <c r="D900" s="5"/>
      <c r="E900" s="9"/>
      <c r="F900" s="3"/>
      <c r="G900" s="6"/>
      <c r="H900" s="7"/>
      <c r="I900" s="8"/>
      <c r="J900" s="12"/>
    </row>
    <row r="901" spans="1:10" x14ac:dyDescent="0.25">
      <c r="A901" s="2"/>
      <c r="B901" s="3"/>
      <c r="C901" s="4"/>
      <c r="D901" s="5"/>
      <c r="E901" s="9"/>
      <c r="F901" s="3"/>
      <c r="G901" s="6"/>
      <c r="H901" s="7"/>
      <c r="I901" s="8"/>
      <c r="J901" s="12"/>
    </row>
    <row r="902" spans="1:10" x14ac:dyDescent="0.25">
      <c r="A902" s="2"/>
      <c r="B902" s="3"/>
      <c r="C902" s="4"/>
      <c r="D902" s="5"/>
      <c r="E902" s="9"/>
      <c r="F902" s="3"/>
      <c r="G902" s="6"/>
      <c r="H902" s="7"/>
      <c r="I902" s="8"/>
      <c r="J902" s="12"/>
    </row>
    <row r="903" spans="1:10" x14ac:dyDescent="0.25">
      <c r="A903" s="2"/>
      <c r="B903" s="3"/>
      <c r="C903" s="4"/>
      <c r="D903" s="5"/>
      <c r="E903" s="9"/>
      <c r="F903" s="3"/>
      <c r="G903" s="6"/>
      <c r="H903" s="7"/>
      <c r="I903" s="8"/>
      <c r="J903" s="12"/>
    </row>
    <row r="904" spans="1:10" x14ac:dyDescent="0.25">
      <c r="A904" s="2"/>
      <c r="B904" s="3"/>
      <c r="C904" s="4"/>
      <c r="D904" s="5"/>
      <c r="E904" s="9"/>
      <c r="F904" s="3"/>
      <c r="G904" s="6"/>
      <c r="H904" s="7"/>
      <c r="I904" s="8"/>
      <c r="J904" s="12"/>
    </row>
    <row r="905" spans="1:10" x14ac:dyDescent="0.25">
      <c r="A905" s="2"/>
      <c r="B905" s="3"/>
      <c r="C905" s="4"/>
      <c r="D905" s="5"/>
      <c r="E905" s="9"/>
      <c r="F905" s="3"/>
      <c r="G905" s="6"/>
      <c r="H905" s="7"/>
      <c r="I905" s="8"/>
      <c r="J905" s="12"/>
    </row>
    <row r="906" spans="1:10" x14ac:dyDescent="0.25">
      <c r="A906" s="2"/>
      <c r="B906" s="3"/>
      <c r="C906" s="4"/>
      <c r="D906" s="5"/>
      <c r="E906" s="9"/>
      <c r="F906" s="3"/>
      <c r="G906" s="6"/>
      <c r="H906" s="7"/>
      <c r="I906" s="8"/>
      <c r="J906" s="12"/>
    </row>
    <row r="907" spans="1:10" x14ac:dyDescent="0.25">
      <c r="A907" s="2"/>
      <c r="B907" s="3"/>
      <c r="C907" s="4"/>
      <c r="D907" s="5"/>
      <c r="E907" s="9"/>
      <c r="F907" s="3"/>
      <c r="G907" s="6"/>
      <c r="H907" s="7"/>
      <c r="I907" s="8"/>
      <c r="J907" s="12"/>
    </row>
    <row r="908" spans="1:10" x14ac:dyDescent="0.25">
      <c r="A908" s="2"/>
      <c r="B908" s="3"/>
      <c r="C908" s="4"/>
      <c r="D908" s="5"/>
      <c r="E908" s="9"/>
      <c r="F908" s="3"/>
      <c r="G908" s="6"/>
      <c r="H908" s="7"/>
      <c r="I908" s="8"/>
      <c r="J908" s="12"/>
    </row>
    <row r="909" spans="1:10" x14ac:dyDescent="0.25">
      <c r="A909" s="2"/>
      <c r="B909" s="3"/>
      <c r="C909" s="4"/>
      <c r="D909" s="5"/>
      <c r="E909" s="9"/>
      <c r="F909" s="3"/>
      <c r="G909" s="6"/>
      <c r="H909" s="7"/>
      <c r="I909" s="8"/>
      <c r="J909" s="12"/>
    </row>
    <row r="910" spans="1:10" x14ac:dyDescent="0.25">
      <c r="A910" s="2"/>
      <c r="B910" s="3"/>
      <c r="C910" s="4"/>
      <c r="D910" s="5"/>
      <c r="E910" s="9"/>
      <c r="F910" s="3"/>
      <c r="G910" s="6"/>
      <c r="H910" s="7"/>
      <c r="I910" s="8"/>
      <c r="J910" s="12"/>
    </row>
    <row r="911" spans="1:10" x14ac:dyDescent="0.25">
      <c r="A911" s="2"/>
      <c r="B911" s="3"/>
      <c r="C911" s="4"/>
      <c r="D911" s="5"/>
      <c r="E911" s="9"/>
      <c r="F911" s="3"/>
      <c r="G911" s="6"/>
      <c r="H911" s="7"/>
      <c r="I911" s="8"/>
      <c r="J911" s="12"/>
    </row>
    <row r="912" spans="1:10" x14ac:dyDescent="0.25">
      <c r="A912" s="2"/>
      <c r="B912" s="3"/>
      <c r="C912" s="4"/>
      <c r="D912" s="5"/>
      <c r="E912" s="9"/>
      <c r="F912" s="3"/>
      <c r="G912" s="6"/>
      <c r="H912" s="7"/>
      <c r="I912" s="8"/>
      <c r="J912" s="12"/>
    </row>
    <row r="913" spans="1:10" x14ac:dyDescent="0.25">
      <c r="A913" s="2"/>
      <c r="B913" s="3"/>
      <c r="C913" s="4"/>
      <c r="D913" s="5"/>
      <c r="E913" s="9"/>
      <c r="F913" s="3"/>
      <c r="G913" s="6"/>
      <c r="H913" s="7"/>
      <c r="I913" s="8"/>
      <c r="J913" s="12"/>
    </row>
    <row r="914" spans="1:10" x14ac:dyDescent="0.25">
      <c r="A914" s="2"/>
      <c r="B914" s="3"/>
      <c r="C914" s="4"/>
      <c r="D914" s="5"/>
      <c r="E914" s="9"/>
      <c r="F914" s="3"/>
      <c r="G914" s="6"/>
      <c r="H914" s="7"/>
      <c r="I914" s="8"/>
      <c r="J914" s="12"/>
    </row>
    <row r="915" spans="1:10" x14ac:dyDescent="0.25">
      <c r="A915" s="2"/>
      <c r="B915" s="3"/>
      <c r="C915" s="4"/>
      <c r="D915" s="5"/>
      <c r="E915" s="9"/>
      <c r="F915" s="3"/>
      <c r="G915" s="6"/>
      <c r="H915" s="7"/>
      <c r="I915" s="8"/>
      <c r="J915" s="12"/>
    </row>
    <row r="916" spans="1:10" x14ac:dyDescent="0.25">
      <c r="A916" s="2"/>
      <c r="B916" s="3"/>
      <c r="C916" s="4"/>
      <c r="D916" s="5"/>
      <c r="E916" s="9"/>
      <c r="F916" s="3"/>
      <c r="G916" s="6"/>
      <c r="H916" s="7"/>
      <c r="I916" s="8"/>
      <c r="J916" s="12"/>
    </row>
    <row r="917" spans="1:10" x14ac:dyDescent="0.25">
      <c r="A917" s="2"/>
      <c r="B917" s="3"/>
      <c r="C917" s="4"/>
      <c r="D917" s="5"/>
      <c r="E917" s="9"/>
      <c r="F917" s="3"/>
      <c r="G917" s="6"/>
      <c r="H917" s="7"/>
      <c r="I917" s="8"/>
      <c r="J917" s="12"/>
    </row>
    <row r="918" spans="1:10" x14ac:dyDescent="0.25">
      <c r="A918" s="2"/>
      <c r="B918" s="3"/>
      <c r="C918" s="4"/>
      <c r="D918" s="5"/>
      <c r="E918" s="9"/>
      <c r="F918" s="3"/>
      <c r="G918" s="6"/>
      <c r="H918" s="7"/>
      <c r="I918" s="8"/>
      <c r="J918" s="12"/>
    </row>
    <row r="919" spans="1:10" x14ac:dyDescent="0.25">
      <c r="A919" s="2"/>
      <c r="B919" s="3"/>
      <c r="C919" s="4"/>
      <c r="D919" s="5"/>
      <c r="E919" s="9"/>
      <c r="F919" s="3"/>
      <c r="G919" s="6"/>
      <c r="H919" s="7"/>
      <c r="I919" s="8"/>
      <c r="J919" s="12"/>
    </row>
    <row r="920" spans="1:10" x14ac:dyDescent="0.25">
      <c r="A920" s="2"/>
      <c r="B920" s="3"/>
      <c r="C920" s="4"/>
      <c r="D920" s="5"/>
      <c r="E920" s="9"/>
      <c r="F920" s="3"/>
      <c r="G920" s="6"/>
      <c r="H920" s="7"/>
      <c r="I920" s="8"/>
      <c r="J920" s="12"/>
    </row>
    <row r="921" spans="1:10" x14ac:dyDescent="0.25">
      <c r="A921" s="2"/>
      <c r="B921" s="3"/>
      <c r="C921" s="4"/>
      <c r="D921" s="5"/>
      <c r="E921" s="9"/>
      <c r="F921" s="3"/>
      <c r="G921" s="6"/>
      <c r="H921" s="7"/>
      <c r="I921" s="8"/>
      <c r="J921" s="12"/>
    </row>
    <row r="922" spans="1:10" x14ac:dyDescent="0.25">
      <c r="A922" s="2"/>
      <c r="B922" s="3"/>
      <c r="C922" s="4"/>
      <c r="D922" s="5"/>
      <c r="E922" s="9"/>
      <c r="F922" s="3"/>
      <c r="G922" s="6"/>
      <c r="H922" s="7"/>
      <c r="I922" s="8"/>
      <c r="J922" s="12"/>
    </row>
    <row r="923" spans="1:10" x14ac:dyDescent="0.25">
      <c r="A923" s="2"/>
      <c r="B923" s="3"/>
      <c r="C923" s="4"/>
      <c r="D923" s="5"/>
      <c r="E923" s="9"/>
      <c r="F923" s="3"/>
      <c r="G923" s="6"/>
      <c r="H923" s="7"/>
      <c r="I923" s="8"/>
      <c r="J923" s="12"/>
    </row>
    <row r="924" spans="1:10" x14ac:dyDescent="0.25">
      <c r="A924" s="2"/>
      <c r="B924" s="3"/>
      <c r="C924" s="4"/>
      <c r="D924" s="5"/>
      <c r="E924" s="9"/>
      <c r="F924" s="3"/>
      <c r="G924" s="6"/>
      <c r="H924" s="7"/>
      <c r="I924" s="8"/>
      <c r="J924" s="12"/>
    </row>
    <row r="925" spans="1:10" x14ac:dyDescent="0.25">
      <c r="A925" s="2"/>
      <c r="B925" s="3"/>
      <c r="C925" s="4"/>
      <c r="D925" s="5"/>
      <c r="E925" s="9"/>
      <c r="F925" s="3"/>
      <c r="G925" s="6"/>
      <c r="H925" s="7"/>
      <c r="I925" s="8"/>
      <c r="J925" s="12"/>
    </row>
    <row r="926" spans="1:10" x14ac:dyDescent="0.25">
      <c r="A926" s="2"/>
      <c r="B926" s="3"/>
      <c r="C926" s="4"/>
      <c r="D926" s="5"/>
      <c r="E926" s="9"/>
      <c r="F926" s="3"/>
      <c r="G926" s="6"/>
      <c r="H926" s="7"/>
      <c r="I926" s="8"/>
      <c r="J926" s="12"/>
    </row>
    <row r="927" spans="1:10" x14ac:dyDescent="0.25">
      <c r="A927" s="2"/>
      <c r="B927" s="3"/>
      <c r="C927" s="4"/>
      <c r="D927" s="5"/>
      <c r="E927" s="9"/>
      <c r="F927" s="3"/>
      <c r="G927" s="6"/>
      <c r="H927" s="7"/>
      <c r="I927" s="8"/>
      <c r="J927" s="12"/>
    </row>
    <row r="928" spans="1:10" x14ac:dyDescent="0.25">
      <c r="A928" s="2"/>
      <c r="B928" s="3"/>
      <c r="C928" s="4"/>
      <c r="D928" s="5"/>
      <c r="E928" s="9"/>
      <c r="F928" s="3"/>
      <c r="G928" s="6"/>
      <c r="H928" s="7"/>
      <c r="I928" s="8"/>
      <c r="J928" s="12"/>
    </row>
    <row r="929" spans="1:10" x14ac:dyDescent="0.25">
      <c r="A929" s="2"/>
      <c r="B929" s="3"/>
      <c r="C929" s="4"/>
      <c r="D929" s="5"/>
      <c r="E929" s="9"/>
      <c r="F929" s="3"/>
      <c r="G929" s="6"/>
      <c r="H929" s="7"/>
      <c r="I929" s="8"/>
      <c r="J929" s="12"/>
    </row>
    <row r="930" spans="1:10" x14ac:dyDescent="0.25">
      <c r="A930" s="2"/>
      <c r="B930" s="3"/>
      <c r="C930" s="4"/>
      <c r="D930" s="5"/>
      <c r="E930" s="9"/>
      <c r="F930" s="3"/>
      <c r="G930" s="6"/>
      <c r="H930" s="7"/>
      <c r="I930" s="8"/>
      <c r="J930" s="12"/>
    </row>
    <row r="931" spans="1:10" x14ac:dyDescent="0.25">
      <c r="A931" s="2"/>
      <c r="B931" s="3"/>
      <c r="C931" s="4"/>
      <c r="D931" s="5"/>
      <c r="E931" s="9"/>
      <c r="F931" s="3"/>
      <c r="G931" s="6"/>
      <c r="H931" s="7"/>
      <c r="I931" s="8"/>
      <c r="J931" s="12"/>
    </row>
    <row r="932" spans="1:10" x14ac:dyDescent="0.25">
      <c r="A932" s="2"/>
      <c r="B932" s="3"/>
      <c r="C932" s="4"/>
      <c r="D932" s="5"/>
      <c r="E932" s="9"/>
      <c r="F932" s="3"/>
      <c r="G932" s="6"/>
      <c r="H932" s="7"/>
      <c r="I932" s="8"/>
      <c r="J932" s="12"/>
    </row>
    <row r="933" spans="1:10" x14ac:dyDescent="0.25">
      <c r="A933" s="2"/>
      <c r="B933" s="3"/>
      <c r="C933" s="4"/>
      <c r="D933" s="5"/>
      <c r="E933" s="9"/>
      <c r="F933" s="3"/>
      <c r="G933" s="6"/>
      <c r="H933" s="7"/>
      <c r="I933" s="8"/>
      <c r="J933" s="12"/>
    </row>
    <row r="934" spans="1:10" x14ac:dyDescent="0.25">
      <c r="A934" s="2"/>
      <c r="B934" s="3"/>
      <c r="C934" s="4"/>
      <c r="D934" s="5"/>
      <c r="E934" s="9"/>
      <c r="F934" s="3"/>
      <c r="G934" s="6"/>
      <c r="H934" s="7"/>
      <c r="I934" s="8"/>
      <c r="J934" s="12"/>
    </row>
    <row r="935" spans="1:10" x14ac:dyDescent="0.25">
      <c r="A935" s="2"/>
      <c r="B935" s="3"/>
      <c r="C935" s="4"/>
      <c r="D935" s="5"/>
      <c r="E935" s="9"/>
      <c r="F935" s="3"/>
      <c r="G935" s="6"/>
      <c r="H935" s="7"/>
      <c r="I935" s="8"/>
      <c r="J935" s="12"/>
    </row>
    <row r="936" spans="1:10" x14ac:dyDescent="0.25">
      <c r="A936" s="2"/>
      <c r="B936" s="3"/>
      <c r="C936" s="4"/>
      <c r="D936" s="5"/>
      <c r="E936" s="9"/>
      <c r="F936" s="3"/>
      <c r="G936" s="6"/>
      <c r="H936" s="7"/>
      <c r="I936" s="8"/>
      <c r="J936" s="12"/>
    </row>
    <row r="937" spans="1:10" x14ac:dyDescent="0.25">
      <c r="A937" s="2"/>
      <c r="B937" s="3"/>
      <c r="C937" s="4"/>
      <c r="D937" s="5"/>
      <c r="E937" s="9"/>
      <c r="F937" s="3"/>
      <c r="G937" s="6"/>
      <c r="H937" s="7"/>
      <c r="I937" s="8"/>
      <c r="J937" s="12"/>
    </row>
    <row r="938" spans="1:10" x14ac:dyDescent="0.25">
      <c r="A938" s="2"/>
      <c r="B938" s="3"/>
      <c r="C938" s="4"/>
      <c r="D938" s="5"/>
      <c r="E938" s="9"/>
      <c r="F938" s="3"/>
      <c r="G938" s="6"/>
      <c r="H938" s="7"/>
      <c r="I938" s="8"/>
      <c r="J938" s="12"/>
    </row>
    <row r="939" spans="1:10" x14ac:dyDescent="0.25">
      <c r="A939" s="2"/>
      <c r="B939" s="3"/>
      <c r="C939" s="4"/>
      <c r="D939" s="5"/>
      <c r="E939" s="9"/>
      <c r="F939" s="3"/>
      <c r="G939" s="6"/>
      <c r="H939" s="7"/>
      <c r="I939" s="8"/>
      <c r="J939" s="12"/>
    </row>
    <row r="940" spans="1:10" x14ac:dyDescent="0.25">
      <c r="A940" s="2"/>
      <c r="B940" s="3"/>
      <c r="C940" s="4"/>
      <c r="D940" s="5"/>
      <c r="E940" s="9"/>
      <c r="F940" s="3"/>
      <c r="G940" s="6"/>
      <c r="H940" s="7"/>
      <c r="I940" s="8"/>
      <c r="J940" s="12"/>
    </row>
    <row r="941" spans="1:10" x14ac:dyDescent="0.25">
      <c r="A941" s="2"/>
      <c r="B941" s="3"/>
      <c r="C941" s="4"/>
      <c r="D941" s="5"/>
      <c r="E941" s="9"/>
      <c r="F941" s="3"/>
      <c r="G941" s="6"/>
      <c r="H941" s="7"/>
      <c r="I941" s="8"/>
      <c r="J941" s="12"/>
    </row>
    <row r="942" spans="1:10" x14ac:dyDescent="0.25">
      <c r="A942" s="2"/>
      <c r="B942" s="3"/>
      <c r="C942" s="4"/>
      <c r="D942" s="5"/>
      <c r="E942" s="9"/>
      <c r="F942" s="3"/>
      <c r="G942" s="6"/>
      <c r="H942" s="7"/>
      <c r="I942" s="8"/>
      <c r="J942" s="12"/>
    </row>
    <row r="943" spans="1:10" x14ac:dyDescent="0.25">
      <c r="A943" s="2"/>
      <c r="B943" s="3"/>
      <c r="C943" s="4"/>
      <c r="D943" s="5"/>
      <c r="E943" s="9"/>
      <c r="F943" s="3"/>
      <c r="G943" s="6"/>
      <c r="H943" s="7"/>
      <c r="I943" s="8"/>
      <c r="J943" s="12"/>
    </row>
    <row r="944" spans="1:10" x14ac:dyDescent="0.25">
      <c r="A944" s="2"/>
      <c r="B944" s="3"/>
      <c r="C944" s="4"/>
      <c r="D944" s="5"/>
      <c r="E944" s="9"/>
      <c r="F944" s="3"/>
      <c r="G944" s="6"/>
      <c r="H944" s="7"/>
      <c r="I944" s="8"/>
      <c r="J944" s="12"/>
    </row>
    <row r="945" spans="1:10" x14ac:dyDescent="0.25">
      <c r="A945" s="2"/>
      <c r="B945" s="3"/>
      <c r="C945" s="4"/>
      <c r="D945" s="5"/>
      <c r="E945" s="9"/>
      <c r="F945" s="3"/>
      <c r="G945" s="6"/>
      <c r="H945" s="7"/>
      <c r="I945" s="8"/>
      <c r="J945" s="12"/>
    </row>
    <row r="946" spans="1:10" x14ac:dyDescent="0.25">
      <c r="A946" s="2"/>
      <c r="B946" s="3"/>
      <c r="C946" s="4"/>
      <c r="D946" s="5"/>
      <c r="E946" s="9"/>
      <c r="F946" s="3"/>
      <c r="G946" s="6"/>
      <c r="H946" s="7"/>
      <c r="I946" s="8"/>
      <c r="J946" s="12"/>
    </row>
    <row r="947" spans="1:10" x14ac:dyDescent="0.25">
      <c r="A947" s="2"/>
      <c r="B947" s="3"/>
      <c r="C947" s="4"/>
      <c r="D947" s="5"/>
      <c r="E947" s="9"/>
      <c r="F947" s="3"/>
      <c r="G947" s="6"/>
      <c r="H947" s="7"/>
      <c r="I947" s="8"/>
      <c r="J947" s="12"/>
    </row>
    <row r="948" spans="1:10" x14ac:dyDescent="0.25">
      <c r="A948" s="2"/>
      <c r="B948" s="3"/>
      <c r="C948" s="4"/>
      <c r="D948" s="5"/>
      <c r="E948" s="9"/>
      <c r="F948" s="3"/>
      <c r="G948" s="6"/>
      <c r="H948" s="7"/>
      <c r="I948" s="8"/>
      <c r="J948" s="12"/>
    </row>
    <row r="949" spans="1:10" x14ac:dyDescent="0.25">
      <c r="A949" s="2"/>
      <c r="B949" s="3"/>
      <c r="C949" s="4"/>
      <c r="D949" s="5"/>
      <c r="E949" s="9"/>
      <c r="F949" s="3"/>
      <c r="G949" s="6"/>
      <c r="H949" s="7"/>
      <c r="I949" s="8"/>
      <c r="J949" s="12"/>
    </row>
    <row r="950" spans="1:10" x14ac:dyDescent="0.25">
      <c r="A950" s="2"/>
      <c r="B950" s="3"/>
      <c r="C950" s="4"/>
      <c r="D950" s="5"/>
      <c r="E950" s="9"/>
      <c r="F950" s="3"/>
      <c r="G950" s="6"/>
      <c r="H950" s="7"/>
      <c r="I950" s="8"/>
      <c r="J950" s="12"/>
    </row>
    <row r="951" spans="1:10" x14ac:dyDescent="0.25">
      <c r="A951" s="2"/>
      <c r="B951" s="3"/>
      <c r="C951" s="4"/>
      <c r="D951" s="5"/>
      <c r="E951" s="9"/>
      <c r="F951" s="3"/>
      <c r="G951" s="6"/>
      <c r="H951" s="7"/>
      <c r="I951" s="8"/>
      <c r="J951" s="12"/>
    </row>
    <row r="952" spans="1:10" x14ac:dyDescent="0.25">
      <c r="A952" s="2"/>
      <c r="B952" s="3"/>
      <c r="C952" s="4"/>
      <c r="D952" s="5"/>
      <c r="E952" s="9"/>
      <c r="F952" s="3"/>
      <c r="G952" s="6"/>
      <c r="H952" s="7"/>
      <c r="I952" s="8"/>
      <c r="J952" s="12"/>
    </row>
    <row r="953" spans="1:10" x14ac:dyDescent="0.25">
      <c r="A953" s="2"/>
      <c r="B953" s="3"/>
      <c r="C953" s="4"/>
      <c r="D953" s="5"/>
      <c r="E953" s="9"/>
      <c r="F953" s="3"/>
      <c r="G953" s="6"/>
      <c r="H953" s="7"/>
      <c r="I953" s="8"/>
      <c r="J953" s="12"/>
    </row>
    <row r="954" spans="1:10" x14ac:dyDescent="0.25">
      <c r="A954" s="2"/>
      <c r="B954" s="3"/>
      <c r="C954" s="4"/>
      <c r="D954" s="5"/>
      <c r="E954" s="9"/>
      <c r="F954" s="3"/>
      <c r="G954" s="6"/>
      <c r="H954" s="7"/>
      <c r="I954" s="8"/>
      <c r="J954" s="12"/>
    </row>
    <row r="955" spans="1:10" x14ac:dyDescent="0.25">
      <c r="A955" s="2"/>
      <c r="B955" s="3"/>
      <c r="C955" s="4"/>
      <c r="D955" s="5"/>
      <c r="E955" s="9"/>
      <c r="F955" s="3"/>
      <c r="G955" s="6"/>
      <c r="H955" s="7"/>
      <c r="I955" s="8"/>
      <c r="J955" s="12"/>
    </row>
    <row r="956" spans="1:10" x14ac:dyDescent="0.25">
      <c r="A956" s="2"/>
      <c r="B956" s="3"/>
      <c r="C956" s="4"/>
      <c r="D956" s="5"/>
      <c r="E956" s="9"/>
      <c r="F956" s="3"/>
      <c r="G956" s="6"/>
      <c r="H956" s="7"/>
      <c r="I956" s="8"/>
      <c r="J956" s="12"/>
    </row>
    <row r="957" spans="1:10" x14ac:dyDescent="0.25">
      <c r="A957" s="2"/>
      <c r="B957" s="3"/>
      <c r="C957" s="4"/>
      <c r="D957" s="5"/>
      <c r="E957" s="9"/>
      <c r="F957" s="3"/>
      <c r="G957" s="6"/>
      <c r="H957" s="7"/>
      <c r="I957" s="8"/>
      <c r="J957" s="12"/>
    </row>
    <row r="958" spans="1:10" x14ac:dyDescent="0.25">
      <c r="A958" s="2"/>
      <c r="B958" s="3"/>
      <c r="C958" s="4"/>
      <c r="D958" s="5"/>
      <c r="E958" s="9"/>
      <c r="F958" s="3"/>
      <c r="G958" s="6"/>
      <c r="H958" s="7"/>
      <c r="I958" s="8"/>
      <c r="J958" s="12"/>
    </row>
    <row r="959" spans="1:10" x14ac:dyDescent="0.25">
      <c r="A959" s="2"/>
      <c r="B959" s="3"/>
      <c r="C959" s="4"/>
      <c r="D959" s="5"/>
      <c r="E959" s="9"/>
      <c r="F959" s="3"/>
      <c r="G959" s="6"/>
      <c r="H959" s="7"/>
      <c r="I959" s="8"/>
      <c r="J959" s="12"/>
    </row>
    <row r="960" spans="1:10" x14ac:dyDescent="0.25">
      <c r="A960" s="2"/>
      <c r="B960" s="3"/>
      <c r="C960" s="4"/>
      <c r="D960" s="5"/>
      <c r="E960" s="9"/>
      <c r="F960" s="3"/>
      <c r="G960" s="6"/>
      <c r="H960" s="7"/>
      <c r="I960" s="8"/>
      <c r="J960" s="12"/>
    </row>
    <row r="961" spans="1:10" x14ac:dyDescent="0.25">
      <c r="A961" s="2"/>
      <c r="B961" s="3"/>
      <c r="C961" s="4"/>
      <c r="D961" s="5"/>
      <c r="E961" s="9"/>
      <c r="F961" s="3"/>
      <c r="G961" s="6"/>
      <c r="H961" s="7"/>
      <c r="I961" s="8"/>
      <c r="J961" s="12"/>
    </row>
    <row r="962" spans="1:10" x14ac:dyDescent="0.25">
      <c r="A962" s="2"/>
      <c r="B962" s="3"/>
      <c r="C962" s="4"/>
      <c r="D962" s="5"/>
      <c r="E962" s="9"/>
      <c r="F962" s="3"/>
      <c r="G962" s="6"/>
      <c r="H962" s="7"/>
      <c r="I962" s="8"/>
      <c r="J962" s="12"/>
    </row>
    <row r="963" spans="1:10" x14ac:dyDescent="0.25">
      <c r="A963" s="2"/>
      <c r="B963" s="3"/>
      <c r="C963" s="4"/>
      <c r="D963" s="5"/>
      <c r="E963" s="9"/>
      <c r="F963" s="3"/>
      <c r="G963" s="6"/>
      <c r="H963" s="7"/>
      <c r="I963" s="8"/>
      <c r="J963" s="12"/>
    </row>
    <row r="964" spans="1:10" x14ac:dyDescent="0.25">
      <c r="A964" s="2"/>
      <c r="B964" s="3"/>
      <c r="C964" s="4"/>
      <c r="D964" s="5"/>
      <c r="E964" s="9"/>
      <c r="F964" s="3"/>
      <c r="G964" s="6"/>
      <c r="H964" s="7"/>
      <c r="I964" s="8"/>
      <c r="J964" s="12"/>
    </row>
    <row r="965" spans="1:10" x14ac:dyDescent="0.25">
      <c r="A965" s="2"/>
      <c r="B965" s="3"/>
      <c r="C965" s="4"/>
      <c r="D965" s="5"/>
      <c r="E965" s="9"/>
      <c r="F965" s="3"/>
      <c r="G965" s="6"/>
      <c r="H965" s="7"/>
      <c r="I965" s="8"/>
      <c r="J965" s="12"/>
    </row>
    <row r="966" spans="1:10" x14ac:dyDescent="0.25">
      <c r="A966" s="2"/>
      <c r="B966" s="3"/>
      <c r="C966" s="4"/>
      <c r="D966" s="5"/>
      <c r="E966" s="9"/>
      <c r="F966" s="3"/>
      <c r="G966" s="6"/>
      <c r="H966" s="7"/>
      <c r="I966" s="8"/>
      <c r="J966" s="12"/>
    </row>
    <row r="967" spans="1:10" x14ac:dyDescent="0.25">
      <c r="A967" s="2"/>
      <c r="B967" s="3"/>
      <c r="C967" s="4"/>
      <c r="D967" s="5"/>
      <c r="E967" s="9"/>
      <c r="F967" s="3"/>
      <c r="G967" s="6"/>
      <c r="H967" s="7"/>
      <c r="I967" s="8"/>
      <c r="J967" s="12"/>
    </row>
    <row r="968" spans="1:10" x14ac:dyDescent="0.25">
      <c r="A968" s="2"/>
      <c r="B968" s="3"/>
      <c r="C968" s="4"/>
      <c r="D968" s="5"/>
      <c r="E968" s="9"/>
      <c r="F968" s="3"/>
      <c r="G968" s="6"/>
      <c r="H968" s="7"/>
      <c r="I968" s="8"/>
      <c r="J968" s="12"/>
    </row>
    <row r="969" spans="1:10" x14ac:dyDescent="0.25">
      <c r="A969" s="2"/>
      <c r="B969" s="3"/>
      <c r="C969" s="4"/>
      <c r="D969" s="5"/>
      <c r="E969" s="9"/>
      <c r="F969" s="3"/>
      <c r="G969" s="6"/>
      <c r="H969" s="7"/>
      <c r="I969" s="8"/>
      <c r="J969" s="12"/>
    </row>
    <row r="970" spans="1:10" x14ac:dyDescent="0.25">
      <c r="A970" s="2"/>
      <c r="B970" s="3"/>
      <c r="C970" s="4"/>
      <c r="D970" s="5"/>
      <c r="E970" s="9"/>
      <c r="F970" s="3"/>
      <c r="G970" s="6"/>
      <c r="H970" s="7"/>
      <c r="I970" s="8"/>
      <c r="J970" s="12"/>
    </row>
    <row r="971" spans="1:10" x14ac:dyDescent="0.25">
      <c r="A971" s="2"/>
      <c r="B971" s="3"/>
      <c r="C971" s="4"/>
      <c r="D971" s="5"/>
      <c r="E971" s="9"/>
      <c r="F971" s="3"/>
      <c r="G971" s="6"/>
      <c r="H971" s="7"/>
      <c r="I971" s="8"/>
      <c r="J971" s="12"/>
    </row>
    <row r="972" spans="1:10" x14ac:dyDescent="0.25">
      <c r="A972" s="2"/>
      <c r="B972" s="3"/>
      <c r="C972" s="4"/>
      <c r="D972" s="5"/>
      <c r="E972" s="9"/>
      <c r="F972" s="3"/>
      <c r="G972" s="6"/>
      <c r="H972" s="7"/>
      <c r="I972" s="8"/>
      <c r="J972" s="12"/>
    </row>
    <row r="973" spans="1:10" x14ac:dyDescent="0.25">
      <c r="A973" s="2"/>
      <c r="B973" s="3"/>
      <c r="C973" s="4"/>
      <c r="D973" s="5"/>
      <c r="E973" s="9"/>
      <c r="F973" s="3"/>
      <c r="G973" s="6"/>
      <c r="H973" s="7"/>
      <c r="I973" s="8"/>
      <c r="J973" s="12"/>
    </row>
    <row r="974" spans="1:10" x14ac:dyDescent="0.25">
      <c r="A974" s="2"/>
      <c r="B974" s="3"/>
      <c r="C974" s="4"/>
      <c r="D974" s="5"/>
      <c r="E974" s="9"/>
      <c r="F974" s="3"/>
      <c r="G974" s="6"/>
      <c r="H974" s="7"/>
      <c r="I974" s="8"/>
      <c r="J974" s="12"/>
    </row>
    <row r="975" spans="1:10" x14ac:dyDescent="0.25">
      <c r="A975" s="2"/>
      <c r="B975" s="3"/>
      <c r="C975" s="4"/>
      <c r="D975" s="5"/>
      <c r="E975" s="9"/>
      <c r="F975" s="3"/>
      <c r="G975" s="6"/>
      <c r="H975" s="7"/>
      <c r="I975" s="8"/>
      <c r="J975" s="12"/>
    </row>
    <row r="976" spans="1:10" x14ac:dyDescent="0.25">
      <c r="A976" s="2"/>
      <c r="B976" s="3"/>
      <c r="C976" s="4"/>
      <c r="D976" s="5"/>
      <c r="E976" s="9"/>
      <c r="F976" s="3"/>
      <c r="G976" s="6"/>
      <c r="H976" s="7"/>
      <c r="I976" s="8"/>
      <c r="J976" s="12"/>
    </row>
    <row r="977" spans="1:10" x14ac:dyDescent="0.25">
      <c r="A977" s="2"/>
      <c r="B977" s="3"/>
      <c r="C977" s="4"/>
      <c r="D977" s="5"/>
      <c r="E977" s="9"/>
      <c r="F977" s="3"/>
      <c r="G977" s="6"/>
      <c r="H977" s="7"/>
      <c r="I977" s="8"/>
      <c r="J977" s="12"/>
    </row>
    <row r="978" spans="1:10" x14ac:dyDescent="0.25">
      <c r="A978" s="2"/>
      <c r="B978" s="3"/>
      <c r="C978" s="4"/>
      <c r="D978" s="5"/>
      <c r="E978" s="9"/>
      <c r="F978" s="3"/>
      <c r="G978" s="6"/>
      <c r="H978" s="7"/>
      <c r="I978" s="8"/>
      <c r="J978" s="12"/>
    </row>
    <row r="979" spans="1:10" x14ac:dyDescent="0.25">
      <c r="A979" s="2"/>
      <c r="B979" s="3"/>
      <c r="C979" s="4"/>
      <c r="D979" s="5"/>
      <c r="E979" s="9"/>
      <c r="F979" s="3"/>
      <c r="G979" s="6"/>
      <c r="H979" s="7"/>
      <c r="I979" s="8"/>
      <c r="J979" s="12"/>
    </row>
    <row r="980" spans="1:10" x14ac:dyDescent="0.25">
      <c r="A980" s="2"/>
      <c r="B980" s="3"/>
      <c r="C980" s="4"/>
      <c r="D980" s="5"/>
      <c r="E980" s="9"/>
      <c r="F980" s="3"/>
      <c r="G980" s="6"/>
      <c r="H980" s="7"/>
      <c r="I980" s="8"/>
      <c r="J980" s="12"/>
    </row>
    <row r="981" spans="1:10" x14ac:dyDescent="0.25">
      <c r="A981" s="2"/>
      <c r="B981" s="3"/>
      <c r="C981" s="4"/>
      <c r="D981" s="5"/>
      <c r="E981" s="9"/>
      <c r="F981" s="3"/>
      <c r="G981" s="6"/>
      <c r="H981" s="7"/>
      <c r="I981" s="8"/>
      <c r="J981" s="12"/>
    </row>
    <row r="982" spans="1:10" x14ac:dyDescent="0.25">
      <c r="A982" s="2"/>
      <c r="B982" s="3"/>
      <c r="C982" s="4"/>
      <c r="D982" s="5"/>
      <c r="E982" s="9"/>
      <c r="F982" s="3"/>
      <c r="G982" s="6"/>
      <c r="H982" s="7"/>
      <c r="I982" s="8"/>
      <c r="J982" s="12"/>
    </row>
    <row r="983" spans="1:10" x14ac:dyDescent="0.25">
      <c r="A983" s="2"/>
      <c r="B983" s="3"/>
      <c r="C983" s="4"/>
      <c r="D983" s="5"/>
      <c r="E983" s="9"/>
      <c r="F983" s="3"/>
      <c r="G983" s="6"/>
      <c r="H983" s="7"/>
      <c r="I983" s="8"/>
      <c r="J983" s="12"/>
    </row>
    <row r="984" spans="1:10" x14ac:dyDescent="0.25">
      <c r="A984" s="2"/>
      <c r="B984" s="3"/>
      <c r="C984" s="4"/>
      <c r="D984" s="5"/>
      <c r="E984" s="9"/>
      <c r="F984" s="3"/>
      <c r="G984" s="6"/>
      <c r="H984" s="7"/>
      <c r="I984" s="8"/>
      <c r="J984" s="12"/>
    </row>
    <row r="985" spans="1:10" x14ac:dyDescent="0.25">
      <c r="A985" s="2"/>
      <c r="B985" s="3"/>
      <c r="C985" s="4"/>
      <c r="D985" s="5"/>
      <c r="E985" s="9"/>
      <c r="F985" s="3"/>
      <c r="G985" s="6"/>
      <c r="H985" s="7"/>
      <c r="I985" s="8"/>
      <c r="J985" s="12"/>
    </row>
    <row r="986" spans="1:10" x14ac:dyDescent="0.25">
      <c r="A986" s="2"/>
      <c r="B986" s="3"/>
      <c r="C986" s="4"/>
      <c r="D986" s="5"/>
      <c r="E986" s="9"/>
      <c r="F986" s="3"/>
      <c r="G986" s="6"/>
      <c r="H986" s="7"/>
      <c r="I986" s="8"/>
      <c r="J986" s="12"/>
    </row>
    <row r="987" spans="1:10" x14ac:dyDescent="0.25">
      <c r="A987" s="2"/>
      <c r="B987" s="3"/>
      <c r="C987" s="4"/>
      <c r="D987" s="5"/>
      <c r="E987" s="9"/>
      <c r="F987" s="3"/>
      <c r="G987" s="6"/>
      <c r="H987" s="7"/>
      <c r="I987" s="8"/>
      <c r="J987" s="12"/>
    </row>
    <row r="988" spans="1:10" x14ac:dyDescent="0.25">
      <c r="A988" s="2"/>
      <c r="B988" s="3"/>
      <c r="C988" s="4"/>
      <c r="D988" s="5"/>
      <c r="E988" s="9"/>
      <c r="F988" s="3"/>
      <c r="G988" s="6"/>
      <c r="H988" s="7"/>
      <c r="I988" s="8"/>
      <c r="J988" s="12"/>
    </row>
    <row r="989" spans="1:10" x14ac:dyDescent="0.25">
      <c r="A989" s="2"/>
      <c r="B989" s="3"/>
      <c r="C989" s="4"/>
      <c r="D989" s="5"/>
      <c r="E989" s="9"/>
      <c r="F989" s="3"/>
      <c r="G989" s="6"/>
      <c r="H989" s="7"/>
      <c r="I989" s="8"/>
      <c r="J989" s="12"/>
    </row>
    <row r="990" spans="1:10" x14ac:dyDescent="0.25">
      <c r="A990" s="2"/>
      <c r="B990" s="3"/>
      <c r="C990" s="4"/>
      <c r="D990" s="5"/>
      <c r="E990" s="9"/>
      <c r="F990" s="3"/>
      <c r="G990" s="6"/>
      <c r="H990" s="7"/>
      <c r="I990" s="8"/>
      <c r="J990" s="12"/>
    </row>
    <row r="991" spans="1:10" x14ac:dyDescent="0.25">
      <c r="A991" s="2"/>
      <c r="B991" s="3"/>
      <c r="C991" s="4"/>
      <c r="D991" s="5"/>
      <c r="E991" s="9"/>
      <c r="F991" s="3"/>
      <c r="G991" s="6"/>
      <c r="H991" s="7"/>
      <c r="I991" s="8"/>
      <c r="J991" s="12"/>
    </row>
    <row r="992" spans="1:10" x14ac:dyDescent="0.25">
      <c r="A992" s="2"/>
      <c r="B992" s="3"/>
      <c r="C992" s="4"/>
      <c r="D992" s="5"/>
      <c r="E992" s="9"/>
      <c r="F992" s="3"/>
      <c r="G992" s="6"/>
      <c r="H992" s="7"/>
      <c r="I992" s="8"/>
      <c r="J992" s="12"/>
    </row>
    <row r="993" spans="1:10" x14ac:dyDescent="0.25">
      <c r="A993" s="2"/>
      <c r="B993" s="3"/>
      <c r="C993" s="4"/>
      <c r="D993" s="5"/>
      <c r="E993" s="9"/>
      <c r="F993" s="3"/>
      <c r="G993" s="6"/>
      <c r="H993" s="7"/>
      <c r="I993" s="8"/>
      <c r="J993" s="12"/>
    </row>
    <row r="994" spans="1:10" x14ac:dyDescent="0.25">
      <c r="A994" s="2"/>
      <c r="B994" s="3"/>
      <c r="C994" s="4"/>
      <c r="D994" s="5"/>
      <c r="E994" s="9"/>
      <c r="F994" s="3"/>
      <c r="G994" s="6"/>
      <c r="H994" s="7"/>
      <c r="I994" s="8"/>
      <c r="J994" s="12"/>
    </row>
    <row r="995" spans="1:10" x14ac:dyDescent="0.25">
      <c r="A995" s="2"/>
      <c r="B995" s="3"/>
      <c r="C995" s="4"/>
      <c r="D995" s="5"/>
      <c r="E995" s="9"/>
      <c r="F995" s="3"/>
      <c r="G995" s="6"/>
      <c r="H995" s="7"/>
      <c r="I995" s="8"/>
      <c r="J995" s="12"/>
    </row>
    <row r="996" spans="1:10" x14ac:dyDescent="0.25">
      <c r="A996" s="2"/>
      <c r="B996" s="3"/>
      <c r="C996" s="4"/>
      <c r="D996" s="5"/>
      <c r="E996" s="9"/>
      <c r="F996" s="3"/>
      <c r="G996" s="6"/>
      <c r="H996" s="7"/>
      <c r="I996" s="8"/>
      <c r="J996" s="12"/>
    </row>
    <row r="997" spans="1:10" x14ac:dyDescent="0.25">
      <c r="A997" s="2"/>
      <c r="B997" s="3"/>
      <c r="C997" s="4"/>
      <c r="D997" s="5"/>
      <c r="E997" s="9"/>
      <c r="F997" s="3"/>
      <c r="G997" s="6"/>
      <c r="H997" s="7"/>
      <c r="I997" s="8"/>
      <c r="J997" s="12"/>
    </row>
    <row r="998" spans="1:10" x14ac:dyDescent="0.25">
      <c r="A998" s="2"/>
      <c r="B998" s="3"/>
      <c r="C998" s="4"/>
      <c r="D998" s="5"/>
      <c r="E998" s="9"/>
      <c r="F998" s="3"/>
      <c r="G998" s="6"/>
      <c r="H998" s="7"/>
      <c r="I998" s="8"/>
      <c r="J998" s="12"/>
    </row>
    <row r="999" spans="1:10" x14ac:dyDescent="0.25">
      <c r="A999" s="2"/>
      <c r="B999" s="3"/>
      <c r="C999" s="4"/>
      <c r="D999" s="5"/>
      <c r="E999" s="9"/>
      <c r="F999" s="3"/>
      <c r="G999" s="6"/>
      <c r="H999" s="7"/>
      <c r="I999" s="8"/>
      <c r="J999" s="12"/>
    </row>
    <row r="1000" spans="1:10" x14ac:dyDescent="0.25">
      <c r="A1000" s="2"/>
      <c r="B1000" s="3"/>
      <c r="C1000" s="4"/>
      <c r="D1000" s="5"/>
      <c r="E1000" s="9"/>
      <c r="F1000" s="3"/>
      <c r="G1000" s="6"/>
      <c r="H1000" s="7"/>
      <c r="I1000" s="8"/>
      <c r="J1000" s="12"/>
    </row>
    <row r="1001" spans="1:10" x14ac:dyDescent="0.25">
      <c r="E1001"/>
      <c r="J1001"/>
    </row>
    <row r="1002" spans="1:10" x14ac:dyDescent="0.25">
      <c r="E1002"/>
      <c r="J1002"/>
    </row>
    <row r="1003" spans="1:10" x14ac:dyDescent="0.25">
      <c r="E1003"/>
      <c r="J1003"/>
    </row>
    <row r="1004" spans="1:10" x14ac:dyDescent="0.25">
      <c r="E1004"/>
      <c r="J1004"/>
    </row>
    <row r="1005" spans="1:10" x14ac:dyDescent="0.25">
      <c r="E1005"/>
      <c r="J1005"/>
    </row>
    <row r="1006" spans="1:10" x14ac:dyDescent="0.25">
      <c r="E1006"/>
      <c r="J1006"/>
    </row>
    <row r="1007" spans="1:10" x14ac:dyDescent="0.25">
      <c r="E1007"/>
      <c r="J1007"/>
    </row>
    <row r="1008" spans="1:10" x14ac:dyDescent="0.25">
      <c r="E1008"/>
      <c r="J1008"/>
    </row>
    <row r="1009" spans="5:10" x14ac:dyDescent="0.25">
      <c r="E1009"/>
      <c r="J1009"/>
    </row>
    <row r="1010" spans="5:10" x14ac:dyDescent="0.25">
      <c r="E1010"/>
      <c r="J1010"/>
    </row>
    <row r="1011" spans="5:10" x14ac:dyDescent="0.25">
      <c r="E1011"/>
      <c r="J1011"/>
    </row>
    <row r="1012" spans="5:10" x14ac:dyDescent="0.25">
      <c r="E1012"/>
      <c r="J1012"/>
    </row>
    <row r="1013" spans="5:10" x14ac:dyDescent="0.25">
      <c r="E1013"/>
      <c r="J1013"/>
    </row>
    <row r="1014" spans="5:10" x14ac:dyDescent="0.25">
      <c r="E1014"/>
      <c r="J1014"/>
    </row>
    <row r="1015" spans="5:10" x14ac:dyDescent="0.25">
      <c r="E1015"/>
      <c r="J1015"/>
    </row>
    <row r="1016" spans="5:10" x14ac:dyDescent="0.25">
      <c r="E1016"/>
      <c r="J1016"/>
    </row>
    <row r="1017" spans="5:10" x14ac:dyDescent="0.25">
      <c r="E1017"/>
      <c r="J1017"/>
    </row>
    <row r="1018" spans="5:10" x14ac:dyDescent="0.25">
      <c r="E1018"/>
      <c r="J1018"/>
    </row>
    <row r="1019" spans="5:10" x14ac:dyDescent="0.25">
      <c r="E1019"/>
      <c r="J1019"/>
    </row>
    <row r="1020" spans="5:10" x14ac:dyDescent="0.25">
      <c r="E1020"/>
      <c r="J1020"/>
    </row>
    <row r="1021" spans="5:10" x14ac:dyDescent="0.25">
      <c r="E1021"/>
      <c r="J1021"/>
    </row>
    <row r="1022" spans="5:10" x14ac:dyDescent="0.25">
      <c r="E1022"/>
      <c r="J1022"/>
    </row>
    <row r="1023" spans="5:10" x14ac:dyDescent="0.25">
      <c r="E1023"/>
      <c r="J1023"/>
    </row>
    <row r="1024" spans="5:10" x14ac:dyDescent="0.25">
      <c r="E1024"/>
      <c r="J1024"/>
    </row>
    <row r="1025" spans="5:10" x14ac:dyDescent="0.25">
      <c r="E1025"/>
      <c r="J1025"/>
    </row>
    <row r="1026" spans="5:10" x14ac:dyDescent="0.25">
      <c r="E1026"/>
      <c r="J1026"/>
    </row>
    <row r="1027" spans="5:10" x14ac:dyDescent="0.25">
      <c r="E1027"/>
      <c r="J1027"/>
    </row>
    <row r="1028" spans="5:10" x14ac:dyDescent="0.25">
      <c r="E1028"/>
      <c r="J1028"/>
    </row>
    <row r="1029" spans="5:10" x14ac:dyDescent="0.25">
      <c r="E1029"/>
      <c r="J1029"/>
    </row>
    <row r="1030" spans="5:10" x14ac:dyDescent="0.25">
      <c r="E1030"/>
      <c r="J1030"/>
    </row>
    <row r="1031" spans="5:10" x14ac:dyDescent="0.25">
      <c r="E1031"/>
      <c r="J1031"/>
    </row>
    <row r="1032" spans="5:10" x14ac:dyDescent="0.25">
      <c r="E1032"/>
      <c r="J1032"/>
    </row>
    <row r="1033" spans="5:10" x14ac:dyDescent="0.25">
      <c r="E1033"/>
      <c r="J1033"/>
    </row>
    <row r="1034" spans="5:10" x14ac:dyDescent="0.25">
      <c r="E1034"/>
      <c r="J1034"/>
    </row>
    <row r="1035" spans="5:10" x14ac:dyDescent="0.25">
      <c r="E1035"/>
      <c r="J1035"/>
    </row>
    <row r="1036" spans="5:10" x14ac:dyDescent="0.25">
      <c r="E1036"/>
      <c r="J1036"/>
    </row>
    <row r="1037" spans="5:10" x14ac:dyDescent="0.25">
      <c r="E1037"/>
      <c r="J1037"/>
    </row>
    <row r="1038" spans="5:10" x14ac:dyDescent="0.25">
      <c r="E1038"/>
      <c r="J1038"/>
    </row>
    <row r="1039" spans="5:10" x14ac:dyDescent="0.25">
      <c r="E1039"/>
      <c r="J1039"/>
    </row>
    <row r="1040" spans="5:10" x14ac:dyDescent="0.25">
      <c r="E1040"/>
      <c r="J1040"/>
    </row>
    <row r="1041" spans="5:10" x14ac:dyDescent="0.25">
      <c r="E1041"/>
      <c r="J1041"/>
    </row>
    <row r="1042" spans="5:10" x14ac:dyDescent="0.25">
      <c r="E1042"/>
      <c r="J1042"/>
    </row>
    <row r="1043" spans="5:10" x14ac:dyDescent="0.25">
      <c r="E1043"/>
      <c r="J1043"/>
    </row>
    <row r="1044" spans="5:10" x14ac:dyDescent="0.25">
      <c r="E1044"/>
      <c r="J1044"/>
    </row>
    <row r="1045" spans="5:10" x14ac:dyDescent="0.25">
      <c r="E1045"/>
      <c r="J1045"/>
    </row>
    <row r="1046" spans="5:10" x14ac:dyDescent="0.25">
      <c r="E1046"/>
      <c r="J1046"/>
    </row>
    <row r="1047" spans="5:10" x14ac:dyDescent="0.25">
      <c r="E1047"/>
      <c r="J1047"/>
    </row>
    <row r="1048" spans="5:10" x14ac:dyDescent="0.25">
      <c r="E1048"/>
      <c r="J1048"/>
    </row>
    <row r="1049" spans="5:10" x14ac:dyDescent="0.25">
      <c r="E1049"/>
      <c r="J1049"/>
    </row>
    <row r="1050" spans="5:10" x14ac:dyDescent="0.25">
      <c r="E1050"/>
      <c r="J1050"/>
    </row>
    <row r="1051" spans="5:10" x14ac:dyDescent="0.25">
      <c r="E1051"/>
      <c r="J1051"/>
    </row>
    <row r="1052" spans="5:10" x14ac:dyDescent="0.25">
      <c r="E1052"/>
      <c r="J1052"/>
    </row>
    <row r="1053" spans="5:10" x14ac:dyDescent="0.25">
      <c r="E1053"/>
      <c r="J1053"/>
    </row>
    <row r="1054" spans="5:10" x14ac:dyDescent="0.25">
      <c r="E1054"/>
      <c r="J1054"/>
    </row>
    <row r="1055" spans="5:10" x14ac:dyDescent="0.25">
      <c r="E1055"/>
      <c r="J1055"/>
    </row>
    <row r="1056" spans="5:10" x14ac:dyDescent="0.25">
      <c r="E1056"/>
      <c r="J1056"/>
    </row>
    <row r="1057" spans="5:10" x14ac:dyDescent="0.25">
      <c r="E1057"/>
      <c r="J1057"/>
    </row>
    <row r="1058" spans="5:10" x14ac:dyDescent="0.25">
      <c r="E1058"/>
      <c r="J1058"/>
    </row>
    <row r="1059" spans="5:10" x14ac:dyDescent="0.25">
      <c r="E1059"/>
      <c r="J1059"/>
    </row>
    <row r="1060" spans="5:10" x14ac:dyDescent="0.25">
      <c r="E1060"/>
      <c r="J1060"/>
    </row>
    <row r="1061" spans="5:10" x14ac:dyDescent="0.25">
      <c r="E1061"/>
      <c r="J1061"/>
    </row>
    <row r="1062" spans="5:10" x14ac:dyDescent="0.25">
      <c r="E1062"/>
      <c r="J1062"/>
    </row>
    <row r="1063" spans="5:10" x14ac:dyDescent="0.25">
      <c r="E1063"/>
      <c r="J1063"/>
    </row>
    <row r="1064" spans="5:10" x14ac:dyDescent="0.25">
      <c r="E1064"/>
      <c r="J1064"/>
    </row>
    <row r="1065" spans="5:10" x14ac:dyDescent="0.25">
      <c r="E1065"/>
      <c r="J1065"/>
    </row>
    <row r="1066" spans="5:10" x14ac:dyDescent="0.25">
      <c r="E1066"/>
      <c r="J1066"/>
    </row>
    <row r="1067" spans="5:10" x14ac:dyDescent="0.25">
      <c r="E1067"/>
      <c r="J1067"/>
    </row>
    <row r="1068" spans="5:10" x14ac:dyDescent="0.25">
      <c r="E1068"/>
      <c r="J1068"/>
    </row>
    <row r="1069" spans="5:10" x14ac:dyDescent="0.25">
      <c r="E1069"/>
      <c r="J1069"/>
    </row>
    <row r="1070" spans="5:10" x14ac:dyDescent="0.25">
      <c r="E1070"/>
      <c r="J1070"/>
    </row>
    <row r="1071" spans="5:10" x14ac:dyDescent="0.25">
      <c r="E1071"/>
      <c r="J1071"/>
    </row>
    <row r="1072" spans="5:10" x14ac:dyDescent="0.25">
      <c r="E1072"/>
      <c r="J1072"/>
    </row>
    <row r="1073" spans="5:10" x14ac:dyDescent="0.25">
      <c r="E1073"/>
      <c r="J1073"/>
    </row>
    <row r="1074" spans="5:10" x14ac:dyDescent="0.25">
      <c r="E1074"/>
      <c r="J1074"/>
    </row>
    <row r="1075" spans="5:10" x14ac:dyDescent="0.25">
      <c r="E1075"/>
      <c r="J1075"/>
    </row>
    <row r="1076" spans="5:10" x14ac:dyDescent="0.25">
      <c r="E1076"/>
      <c r="J1076"/>
    </row>
    <row r="1077" spans="5:10" x14ac:dyDescent="0.25">
      <c r="E1077"/>
      <c r="J1077"/>
    </row>
    <row r="1078" spans="5:10" x14ac:dyDescent="0.25">
      <c r="E1078"/>
      <c r="J1078"/>
    </row>
    <row r="1079" spans="5:10" x14ac:dyDescent="0.25">
      <c r="E1079"/>
      <c r="J1079"/>
    </row>
    <row r="1080" spans="5:10" x14ac:dyDescent="0.25">
      <c r="E1080"/>
      <c r="J1080"/>
    </row>
    <row r="1081" spans="5:10" x14ac:dyDescent="0.25">
      <c r="E1081"/>
      <c r="J1081"/>
    </row>
    <row r="1082" spans="5:10" x14ac:dyDescent="0.25">
      <c r="E1082"/>
      <c r="J1082"/>
    </row>
    <row r="1083" spans="5:10" x14ac:dyDescent="0.25">
      <c r="E1083"/>
      <c r="J1083"/>
    </row>
    <row r="1084" spans="5:10" x14ac:dyDescent="0.25">
      <c r="E1084"/>
      <c r="J1084"/>
    </row>
    <row r="1085" spans="5:10" x14ac:dyDescent="0.25">
      <c r="E1085"/>
      <c r="J1085"/>
    </row>
    <row r="1086" spans="5:10" x14ac:dyDescent="0.25">
      <c r="E1086"/>
      <c r="J1086"/>
    </row>
    <row r="1087" spans="5:10" x14ac:dyDescent="0.25">
      <c r="E1087"/>
      <c r="J1087"/>
    </row>
    <row r="1088" spans="5:10" x14ac:dyDescent="0.25">
      <c r="E1088"/>
      <c r="J1088"/>
    </row>
    <row r="1089" spans="5:10" x14ac:dyDescent="0.25">
      <c r="E1089"/>
      <c r="J1089"/>
    </row>
    <row r="1090" spans="5:10" x14ac:dyDescent="0.25">
      <c r="E1090"/>
      <c r="J1090"/>
    </row>
    <row r="1091" spans="5:10" x14ac:dyDescent="0.25">
      <c r="E1091"/>
      <c r="J1091"/>
    </row>
    <row r="1092" spans="5:10" x14ac:dyDescent="0.25">
      <c r="E1092"/>
      <c r="J1092"/>
    </row>
    <row r="1093" spans="5:10" x14ac:dyDescent="0.25">
      <c r="E1093"/>
      <c r="J1093"/>
    </row>
    <row r="1094" spans="5:10" x14ac:dyDescent="0.25">
      <c r="E1094"/>
      <c r="J1094"/>
    </row>
    <row r="1095" spans="5:10" x14ac:dyDescent="0.25">
      <c r="E1095"/>
      <c r="J1095"/>
    </row>
    <row r="1096" spans="5:10" x14ac:dyDescent="0.25">
      <c r="E1096"/>
      <c r="J1096"/>
    </row>
    <row r="1097" spans="5:10" x14ac:dyDescent="0.25">
      <c r="E1097"/>
      <c r="J1097"/>
    </row>
    <row r="1098" spans="5:10" x14ac:dyDescent="0.25">
      <c r="E1098"/>
      <c r="J1098"/>
    </row>
    <row r="1099" spans="5:10" x14ac:dyDescent="0.25">
      <c r="E1099"/>
      <c r="J1099"/>
    </row>
    <row r="1100" spans="5:10" x14ac:dyDescent="0.25">
      <c r="E1100"/>
      <c r="J1100"/>
    </row>
    <row r="1101" spans="5:10" x14ac:dyDescent="0.25">
      <c r="E1101"/>
      <c r="J1101"/>
    </row>
    <row r="1102" spans="5:10" x14ac:dyDescent="0.25">
      <c r="E1102"/>
      <c r="J1102"/>
    </row>
    <row r="1103" spans="5:10" x14ac:dyDescent="0.25">
      <c r="E1103"/>
      <c r="J1103"/>
    </row>
    <row r="1104" spans="5:10" x14ac:dyDescent="0.25">
      <c r="E1104"/>
      <c r="J1104"/>
    </row>
    <row r="1105" spans="5:10" x14ac:dyDescent="0.25">
      <c r="E1105"/>
      <c r="J1105"/>
    </row>
    <row r="1106" spans="5:10" x14ac:dyDescent="0.25">
      <c r="E1106"/>
      <c r="J1106"/>
    </row>
    <row r="1107" spans="5:10" x14ac:dyDescent="0.25">
      <c r="E1107"/>
      <c r="J1107"/>
    </row>
    <row r="1108" spans="5:10" x14ac:dyDescent="0.25">
      <c r="E1108"/>
      <c r="J1108"/>
    </row>
    <row r="1109" spans="5:10" x14ac:dyDescent="0.25">
      <c r="E1109"/>
      <c r="J1109"/>
    </row>
    <row r="1110" spans="5:10" x14ac:dyDescent="0.25">
      <c r="E1110"/>
      <c r="J1110"/>
    </row>
    <row r="1111" spans="5:10" x14ac:dyDescent="0.25">
      <c r="E1111"/>
      <c r="J1111"/>
    </row>
    <row r="1112" spans="5:10" x14ac:dyDescent="0.25">
      <c r="E1112"/>
      <c r="J1112"/>
    </row>
    <row r="1113" spans="5:10" x14ac:dyDescent="0.25">
      <c r="E1113"/>
      <c r="J1113"/>
    </row>
    <row r="1114" spans="5:10" x14ac:dyDescent="0.25">
      <c r="E1114"/>
      <c r="J1114"/>
    </row>
    <row r="1115" spans="5:10" x14ac:dyDescent="0.25">
      <c r="E1115"/>
      <c r="J1115"/>
    </row>
    <row r="1116" spans="5:10" x14ac:dyDescent="0.25">
      <c r="E1116"/>
      <c r="J1116"/>
    </row>
    <row r="1117" spans="5:10" x14ac:dyDescent="0.25">
      <c r="E1117"/>
      <c r="J1117"/>
    </row>
    <row r="1118" spans="5:10" x14ac:dyDescent="0.25">
      <c r="E1118"/>
      <c r="J1118"/>
    </row>
    <row r="1119" spans="5:10" x14ac:dyDescent="0.25">
      <c r="E1119"/>
      <c r="J1119"/>
    </row>
    <row r="1120" spans="5:10" x14ac:dyDescent="0.25">
      <c r="E1120"/>
      <c r="J1120"/>
    </row>
    <row r="1121" spans="5:10" x14ac:dyDescent="0.25">
      <c r="E1121"/>
      <c r="J1121"/>
    </row>
    <row r="1122" spans="5:10" x14ac:dyDescent="0.25">
      <c r="E1122"/>
      <c r="J1122"/>
    </row>
    <row r="1123" spans="5:10" x14ac:dyDescent="0.25">
      <c r="E1123"/>
      <c r="J1123"/>
    </row>
    <row r="1124" spans="5:10" x14ac:dyDescent="0.25">
      <c r="E1124"/>
      <c r="J1124"/>
    </row>
    <row r="1125" spans="5:10" x14ac:dyDescent="0.25">
      <c r="E1125"/>
      <c r="J1125"/>
    </row>
    <row r="1126" spans="5:10" x14ac:dyDescent="0.25">
      <c r="E1126"/>
      <c r="J1126"/>
    </row>
    <row r="1127" spans="5:10" x14ac:dyDescent="0.25">
      <c r="E1127"/>
      <c r="J1127"/>
    </row>
    <row r="1128" spans="5:10" x14ac:dyDescent="0.25">
      <c r="E1128"/>
      <c r="J1128"/>
    </row>
    <row r="1129" spans="5:10" x14ac:dyDescent="0.25">
      <c r="E1129"/>
      <c r="J1129"/>
    </row>
    <row r="1130" spans="5:10" x14ac:dyDescent="0.25">
      <c r="E1130"/>
      <c r="J1130"/>
    </row>
    <row r="1131" spans="5:10" x14ac:dyDescent="0.25">
      <c r="E1131"/>
      <c r="J1131"/>
    </row>
    <row r="1132" spans="5:10" x14ac:dyDescent="0.25">
      <c r="E1132"/>
      <c r="J1132"/>
    </row>
    <row r="1133" spans="5:10" x14ac:dyDescent="0.25">
      <c r="E1133"/>
      <c r="J1133"/>
    </row>
    <row r="1134" spans="5:10" x14ac:dyDescent="0.25">
      <c r="E1134"/>
      <c r="J1134"/>
    </row>
    <row r="1135" spans="5:10" x14ac:dyDescent="0.25">
      <c r="E1135"/>
      <c r="J1135"/>
    </row>
    <row r="1136" spans="5:10" x14ac:dyDescent="0.25">
      <c r="E1136"/>
      <c r="J1136"/>
    </row>
    <row r="1137" spans="5:10" x14ac:dyDescent="0.25">
      <c r="E1137"/>
      <c r="J1137"/>
    </row>
    <row r="1138" spans="5:10" x14ac:dyDescent="0.25">
      <c r="E1138"/>
      <c r="J1138"/>
    </row>
    <row r="1139" spans="5:10" x14ac:dyDescent="0.25">
      <c r="E1139"/>
      <c r="J1139"/>
    </row>
    <row r="1140" spans="5:10" x14ac:dyDescent="0.25">
      <c r="E1140"/>
      <c r="J1140"/>
    </row>
    <row r="1141" spans="5:10" x14ac:dyDescent="0.25">
      <c r="E1141"/>
      <c r="J1141"/>
    </row>
    <row r="1142" spans="5:10" x14ac:dyDescent="0.25">
      <c r="E1142"/>
      <c r="J1142"/>
    </row>
    <row r="1143" spans="5:10" x14ac:dyDescent="0.25">
      <c r="E1143"/>
      <c r="J1143"/>
    </row>
    <row r="1144" spans="5:10" x14ac:dyDescent="0.25">
      <c r="E1144"/>
      <c r="J1144"/>
    </row>
    <row r="1145" spans="5:10" x14ac:dyDescent="0.25">
      <c r="E1145"/>
      <c r="J1145"/>
    </row>
    <row r="1146" spans="5:10" x14ac:dyDescent="0.25">
      <c r="E1146"/>
      <c r="J1146"/>
    </row>
    <row r="1147" spans="5:10" x14ac:dyDescent="0.25">
      <c r="E1147"/>
      <c r="J1147"/>
    </row>
    <row r="1148" spans="5:10" x14ac:dyDescent="0.25">
      <c r="E1148"/>
      <c r="J1148"/>
    </row>
    <row r="1149" spans="5:10" x14ac:dyDescent="0.25">
      <c r="E1149"/>
      <c r="J1149"/>
    </row>
    <row r="1150" spans="5:10" x14ac:dyDescent="0.25">
      <c r="E1150"/>
      <c r="J1150"/>
    </row>
    <row r="1151" spans="5:10" x14ac:dyDescent="0.25">
      <c r="E1151"/>
      <c r="J1151"/>
    </row>
    <row r="1152" spans="5:10" x14ac:dyDescent="0.25">
      <c r="E1152"/>
      <c r="J1152"/>
    </row>
    <row r="1153" spans="5:10" x14ac:dyDescent="0.25">
      <c r="E1153"/>
      <c r="J1153"/>
    </row>
    <row r="1154" spans="5:10" x14ac:dyDescent="0.25">
      <c r="E1154"/>
      <c r="J1154"/>
    </row>
    <row r="1155" spans="5:10" x14ac:dyDescent="0.25">
      <c r="E1155"/>
      <c r="J1155"/>
    </row>
    <row r="1156" spans="5:10" x14ac:dyDescent="0.25">
      <c r="E1156"/>
      <c r="J1156"/>
    </row>
    <row r="1157" spans="5:10" x14ac:dyDescent="0.25">
      <c r="E1157"/>
      <c r="J1157"/>
    </row>
    <row r="1158" spans="5:10" x14ac:dyDescent="0.25">
      <c r="E1158"/>
      <c r="J1158"/>
    </row>
    <row r="1159" spans="5:10" x14ac:dyDescent="0.25">
      <c r="E1159"/>
      <c r="J1159"/>
    </row>
    <row r="1160" spans="5:10" x14ac:dyDescent="0.25">
      <c r="E1160"/>
      <c r="J1160"/>
    </row>
    <row r="1161" spans="5:10" x14ac:dyDescent="0.25">
      <c r="E1161"/>
      <c r="J1161"/>
    </row>
    <row r="1162" spans="5:10" x14ac:dyDescent="0.25">
      <c r="E1162"/>
      <c r="J1162"/>
    </row>
    <row r="1163" spans="5:10" x14ac:dyDescent="0.25">
      <c r="E1163"/>
      <c r="J1163"/>
    </row>
    <row r="1164" spans="5:10" x14ac:dyDescent="0.25">
      <c r="E1164"/>
      <c r="J1164"/>
    </row>
    <row r="1165" spans="5:10" x14ac:dyDescent="0.25">
      <c r="E1165"/>
      <c r="J1165"/>
    </row>
    <row r="1166" spans="5:10" x14ac:dyDescent="0.25">
      <c r="E1166"/>
      <c r="J1166"/>
    </row>
    <row r="1167" spans="5:10" x14ac:dyDescent="0.25">
      <c r="E1167"/>
      <c r="J1167"/>
    </row>
    <row r="1168" spans="5:10" x14ac:dyDescent="0.25">
      <c r="E1168"/>
      <c r="J1168"/>
    </row>
    <row r="1169" spans="5:10" x14ac:dyDescent="0.25">
      <c r="E1169"/>
      <c r="J1169"/>
    </row>
    <row r="1170" spans="5:10" x14ac:dyDescent="0.25">
      <c r="E1170"/>
      <c r="J1170"/>
    </row>
    <row r="1171" spans="5:10" x14ac:dyDescent="0.25">
      <c r="E1171"/>
      <c r="J1171"/>
    </row>
    <row r="1172" spans="5:10" x14ac:dyDescent="0.25">
      <c r="E1172"/>
      <c r="J1172"/>
    </row>
    <row r="1173" spans="5:10" x14ac:dyDescent="0.25">
      <c r="E1173"/>
      <c r="J1173"/>
    </row>
    <row r="1174" spans="5:10" x14ac:dyDescent="0.25">
      <c r="E1174"/>
      <c r="J1174"/>
    </row>
    <row r="1175" spans="5:10" x14ac:dyDescent="0.25">
      <c r="E1175"/>
      <c r="J1175"/>
    </row>
    <row r="1176" spans="5:10" x14ac:dyDescent="0.25">
      <c r="E1176"/>
      <c r="J1176"/>
    </row>
    <row r="1177" spans="5:10" x14ac:dyDescent="0.25">
      <c r="E1177"/>
      <c r="J1177"/>
    </row>
    <row r="1178" spans="5:10" x14ac:dyDescent="0.25">
      <c r="E1178"/>
      <c r="J1178"/>
    </row>
    <row r="1179" spans="5:10" x14ac:dyDescent="0.25">
      <c r="E1179"/>
      <c r="J1179"/>
    </row>
    <row r="1180" spans="5:10" x14ac:dyDescent="0.25">
      <c r="E1180"/>
      <c r="J1180"/>
    </row>
    <row r="1181" spans="5:10" x14ac:dyDescent="0.25">
      <c r="E1181"/>
      <c r="J1181"/>
    </row>
    <row r="1182" spans="5:10" x14ac:dyDescent="0.25">
      <c r="E1182"/>
      <c r="J1182"/>
    </row>
    <row r="1183" spans="5:10" x14ac:dyDescent="0.25">
      <c r="E1183"/>
      <c r="J1183"/>
    </row>
    <row r="1184" spans="5:10" x14ac:dyDescent="0.25">
      <c r="E1184"/>
      <c r="J1184"/>
    </row>
    <row r="1185" spans="5:10" x14ac:dyDescent="0.25">
      <c r="E1185"/>
      <c r="J1185"/>
    </row>
    <row r="1186" spans="5:10" x14ac:dyDescent="0.25">
      <c r="E1186"/>
      <c r="J1186"/>
    </row>
    <row r="1187" spans="5:10" x14ac:dyDescent="0.25">
      <c r="E1187"/>
      <c r="J1187"/>
    </row>
    <row r="1188" spans="5:10" x14ac:dyDescent="0.25">
      <c r="E1188"/>
      <c r="J1188"/>
    </row>
    <row r="1189" spans="5:10" x14ac:dyDescent="0.25">
      <c r="E1189"/>
      <c r="J1189"/>
    </row>
    <row r="1190" spans="5:10" x14ac:dyDescent="0.25">
      <c r="E1190"/>
      <c r="J1190"/>
    </row>
    <row r="1191" spans="5:10" x14ac:dyDescent="0.25">
      <c r="E1191"/>
      <c r="J1191"/>
    </row>
    <row r="1192" spans="5:10" x14ac:dyDescent="0.25">
      <c r="E1192"/>
      <c r="J1192"/>
    </row>
    <row r="1193" spans="5:10" x14ac:dyDescent="0.25">
      <c r="E1193"/>
      <c r="J1193"/>
    </row>
    <row r="1194" spans="5:10" x14ac:dyDescent="0.25">
      <c r="E1194"/>
      <c r="J1194"/>
    </row>
    <row r="1195" spans="5:10" x14ac:dyDescent="0.25">
      <c r="E1195"/>
      <c r="J1195"/>
    </row>
    <row r="1196" spans="5:10" x14ac:dyDescent="0.25">
      <c r="E1196"/>
      <c r="J1196"/>
    </row>
    <row r="1197" spans="5:10" x14ac:dyDescent="0.25">
      <c r="E1197"/>
      <c r="J1197"/>
    </row>
    <row r="1198" spans="5:10" x14ac:dyDescent="0.25">
      <c r="E1198"/>
      <c r="J1198"/>
    </row>
    <row r="1199" spans="5:10" x14ac:dyDescent="0.25">
      <c r="E1199"/>
      <c r="J1199"/>
    </row>
    <row r="1200" spans="5:10" x14ac:dyDescent="0.25">
      <c r="E1200"/>
      <c r="J1200"/>
    </row>
    <row r="1201" spans="5:10" x14ac:dyDescent="0.25">
      <c r="E1201"/>
      <c r="J1201"/>
    </row>
    <row r="1202" spans="5:10" x14ac:dyDescent="0.25">
      <c r="E1202"/>
      <c r="J1202"/>
    </row>
    <row r="1203" spans="5:10" x14ac:dyDescent="0.25">
      <c r="E1203"/>
      <c r="J1203"/>
    </row>
    <row r="1204" spans="5:10" x14ac:dyDescent="0.25">
      <c r="E1204"/>
      <c r="J1204"/>
    </row>
    <row r="1205" spans="5:10" x14ac:dyDescent="0.25">
      <c r="E1205"/>
      <c r="J1205"/>
    </row>
    <row r="1206" spans="5:10" x14ac:dyDescent="0.25">
      <c r="E1206"/>
      <c r="J1206"/>
    </row>
    <row r="1207" spans="5:10" x14ac:dyDescent="0.25">
      <c r="E1207"/>
      <c r="J1207"/>
    </row>
    <row r="1208" spans="5:10" x14ac:dyDescent="0.25">
      <c r="E1208"/>
      <c r="J1208"/>
    </row>
    <row r="1209" spans="5:10" x14ac:dyDescent="0.25">
      <c r="E1209"/>
      <c r="J1209"/>
    </row>
    <row r="1210" spans="5:10" x14ac:dyDescent="0.25">
      <c r="E1210"/>
      <c r="J1210"/>
    </row>
    <row r="1211" spans="5:10" x14ac:dyDescent="0.25">
      <c r="E1211"/>
      <c r="J1211"/>
    </row>
    <row r="1212" spans="5:10" x14ac:dyDescent="0.25">
      <c r="E1212"/>
      <c r="J1212"/>
    </row>
    <row r="1213" spans="5:10" x14ac:dyDescent="0.25">
      <c r="E1213"/>
      <c r="J1213"/>
    </row>
    <row r="1214" spans="5:10" x14ac:dyDescent="0.25">
      <c r="E1214"/>
      <c r="J1214"/>
    </row>
    <row r="1215" spans="5:10" x14ac:dyDescent="0.25">
      <c r="E1215"/>
      <c r="J1215"/>
    </row>
    <row r="1216" spans="5:10" x14ac:dyDescent="0.25">
      <c r="E1216"/>
      <c r="J1216"/>
    </row>
    <row r="1217" spans="5:10" x14ac:dyDescent="0.25">
      <c r="E1217"/>
      <c r="J1217"/>
    </row>
    <row r="1218" spans="5:10" x14ac:dyDescent="0.25">
      <c r="E1218"/>
      <c r="J1218"/>
    </row>
    <row r="1219" spans="5:10" x14ac:dyDescent="0.25">
      <c r="E1219"/>
      <c r="J1219"/>
    </row>
    <row r="1220" spans="5:10" x14ac:dyDescent="0.25">
      <c r="E1220"/>
      <c r="J1220"/>
    </row>
    <row r="1221" spans="5:10" x14ac:dyDescent="0.25">
      <c r="E1221"/>
      <c r="J1221"/>
    </row>
    <row r="1222" spans="5:10" x14ac:dyDescent="0.25">
      <c r="E1222"/>
      <c r="J1222"/>
    </row>
    <row r="1223" spans="5:10" x14ac:dyDescent="0.25">
      <c r="E1223"/>
      <c r="J1223"/>
    </row>
    <row r="1224" spans="5:10" x14ac:dyDescent="0.25">
      <c r="E1224"/>
      <c r="J1224"/>
    </row>
    <row r="1225" spans="5:10" x14ac:dyDescent="0.25">
      <c r="E1225"/>
      <c r="J1225"/>
    </row>
    <row r="1226" spans="5:10" x14ac:dyDescent="0.25">
      <c r="E1226"/>
      <c r="J1226"/>
    </row>
    <row r="1227" spans="5:10" x14ac:dyDescent="0.25">
      <c r="E1227"/>
      <c r="J1227"/>
    </row>
    <row r="1228" spans="5:10" x14ac:dyDescent="0.25">
      <c r="E1228"/>
      <c r="J1228"/>
    </row>
    <row r="1229" spans="5:10" x14ac:dyDescent="0.25">
      <c r="E1229"/>
      <c r="J1229"/>
    </row>
    <row r="1230" spans="5:10" x14ac:dyDescent="0.25">
      <c r="E1230"/>
      <c r="J1230"/>
    </row>
    <row r="1231" spans="5:10" x14ac:dyDescent="0.25">
      <c r="E1231"/>
      <c r="J1231"/>
    </row>
    <row r="1232" spans="5:10" x14ac:dyDescent="0.25">
      <c r="E1232"/>
      <c r="J1232"/>
    </row>
    <row r="1233" spans="5:10" x14ac:dyDescent="0.25">
      <c r="E1233"/>
      <c r="J1233"/>
    </row>
    <row r="1234" spans="5:10" x14ac:dyDescent="0.25">
      <c r="E1234"/>
      <c r="J1234"/>
    </row>
    <row r="1235" spans="5:10" x14ac:dyDescent="0.25">
      <c r="E1235"/>
      <c r="J1235"/>
    </row>
    <row r="1236" spans="5:10" x14ac:dyDescent="0.25">
      <c r="E1236"/>
      <c r="J1236"/>
    </row>
    <row r="1237" spans="5:10" x14ac:dyDescent="0.25">
      <c r="E1237"/>
      <c r="J1237"/>
    </row>
    <row r="1238" spans="5:10" x14ac:dyDescent="0.25">
      <c r="E1238"/>
      <c r="J1238"/>
    </row>
    <row r="1239" spans="5:10" x14ac:dyDescent="0.25">
      <c r="E1239"/>
      <c r="J1239"/>
    </row>
    <row r="1240" spans="5:10" x14ac:dyDescent="0.25">
      <c r="E1240"/>
      <c r="J1240"/>
    </row>
    <row r="1241" spans="5:10" x14ac:dyDescent="0.25">
      <c r="E1241"/>
      <c r="J1241"/>
    </row>
    <row r="1242" spans="5:10" x14ac:dyDescent="0.25">
      <c r="E1242"/>
      <c r="J1242"/>
    </row>
    <row r="1243" spans="5:10" x14ac:dyDescent="0.25">
      <c r="E1243"/>
      <c r="J1243"/>
    </row>
    <row r="1244" spans="5:10" x14ac:dyDescent="0.25">
      <c r="E1244"/>
      <c r="J1244"/>
    </row>
    <row r="1245" spans="5:10" x14ac:dyDescent="0.25">
      <c r="E1245"/>
      <c r="J1245"/>
    </row>
    <row r="1246" spans="5:10" x14ac:dyDescent="0.25">
      <c r="E1246"/>
      <c r="J1246"/>
    </row>
    <row r="1247" spans="5:10" x14ac:dyDescent="0.25">
      <c r="E1247"/>
      <c r="J1247"/>
    </row>
    <row r="1248" spans="5:10" x14ac:dyDescent="0.25">
      <c r="E1248"/>
      <c r="J1248"/>
    </row>
    <row r="1249" spans="5:10" x14ac:dyDescent="0.25">
      <c r="E1249"/>
      <c r="J1249"/>
    </row>
    <row r="1250" spans="5:10" x14ac:dyDescent="0.25">
      <c r="E1250"/>
      <c r="J1250"/>
    </row>
    <row r="1251" spans="5:10" x14ac:dyDescent="0.25">
      <c r="E1251"/>
      <c r="J1251"/>
    </row>
    <row r="1252" spans="5:10" x14ac:dyDescent="0.25">
      <c r="E1252"/>
      <c r="J1252"/>
    </row>
    <row r="1253" spans="5:10" x14ac:dyDescent="0.25">
      <c r="E1253"/>
      <c r="J1253"/>
    </row>
    <row r="1254" spans="5:10" x14ac:dyDescent="0.25">
      <c r="E1254"/>
      <c r="J1254"/>
    </row>
    <row r="1255" spans="5:10" x14ac:dyDescent="0.25">
      <c r="E1255"/>
      <c r="J1255"/>
    </row>
    <row r="1256" spans="5:10" x14ac:dyDescent="0.25">
      <c r="E1256"/>
      <c r="J1256"/>
    </row>
    <row r="1257" spans="5:10" x14ac:dyDescent="0.25">
      <c r="E1257"/>
      <c r="J1257"/>
    </row>
    <row r="1258" spans="5:10" x14ac:dyDescent="0.25">
      <c r="E1258"/>
      <c r="J1258"/>
    </row>
    <row r="1259" spans="5:10" x14ac:dyDescent="0.25">
      <c r="E1259"/>
      <c r="J1259"/>
    </row>
    <row r="1260" spans="5:10" x14ac:dyDescent="0.25">
      <c r="E1260"/>
      <c r="J1260"/>
    </row>
    <row r="1261" spans="5:10" x14ac:dyDescent="0.25">
      <c r="E1261"/>
      <c r="J1261"/>
    </row>
    <row r="1262" spans="5:10" x14ac:dyDescent="0.25">
      <c r="E1262"/>
      <c r="J1262"/>
    </row>
    <row r="1263" spans="5:10" x14ac:dyDescent="0.25">
      <c r="E1263"/>
      <c r="J1263"/>
    </row>
    <row r="1264" spans="5:10" x14ac:dyDescent="0.25">
      <c r="E1264"/>
      <c r="J1264"/>
    </row>
    <row r="1265" spans="5:10" x14ac:dyDescent="0.25">
      <c r="E1265"/>
      <c r="J1265"/>
    </row>
    <row r="1266" spans="5:10" x14ac:dyDescent="0.25">
      <c r="E1266"/>
      <c r="J1266"/>
    </row>
    <row r="1267" spans="5:10" x14ac:dyDescent="0.25">
      <c r="E1267"/>
      <c r="J1267"/>
    </row>
    <row r="1268" spans="5:10" x14ac:dyDescent="0.25">
      <c r="E1268"/>
      <c r="J1268"/>
    </row>
    <row r="1269" spans="5:10" x14ac:dyDescent="0.25">
      <c r="E1269"/>
      <c r="J1269"/>
    </row>
    <row r="1270" spans="5:10" x14ac:dyDescent="0.25">
      <c r="E1270"/>
      <c r="J1270"/>
    </row>
    <row r="1271" spans="5:10" x14ac:dyDescent="0.25">
      <c r="E1271"/>
      <c r="J1271"/>
    </row>
    <row r="1272" spans="5:10" x14ac:dyDescent="0.25">
      <c r="E1272"/>
      <c r="J1272"/>
    </row>
    <row r="1273" spans="5:10" x14ac:dyDescent="0.25">
      <c r="E1273"/>
      <c r="J1273"/>
    </row>
    <row r="1274" spans="5:10" x14ac:dyDescent="0.25">
      <c r="E1274"/>
      <c r="J1274"/>
    </row>
    <row r="1275" spans="5:10" x14ac:dyDescent="0.25">
      <c r="E1275"/>
      <c r="J1275"/>
    </row>
    <row r="1276" spans="5:10" x14ac:dyDescent="0.25">
      <c r="E1276"/>
      <c r="J1276"/>
    </row>
    <row r="1277" spans="5:10" x14ac:dyDescent="0.25">
      <c r="E1277"/>
      <c r="J1277"/>
    </row>
    <row r="1278" spans="5:10" x14ac:dyDescent="0.25">
      <c r="E1278"/>
      <c r="J1278"/>
    </row>
    <row r="1279" spans="5:10" x14ac:dyDescent="0.25">
      <c r="E1279"/>
      <c r="J1279"/>
    </row>
    <row r="1280" spans="5:10" x14ac:dyDescent="0.25">
      <c r="E1280"/>
      <c r="J1280"/>
    </row>
    <row r="1281" spans="5:10" x14ac:dyDescent="0.25">
      <c r="E1281"/>
      <c r="J1281"/>
    </row>
    <row r="1282" spans="5:10" x14ac:dyDescent="0.25">
      <c r="E1282"/>
      <c r="J1282"/>
    </row>
    <row r="1283" spans="5:10" x14ac:dyDescent="0.25">
      <c r="E1283"/>
      <c r="J1283"/>
    </row>
    <row r="1284" spans="5:10" x14ac:dyDescent="0.25">
      <c r="E1284"/>
      <c r="J1284"/>
    </row>
    <row r="1285" spans="5:10" x14ac:dyDescent="0.25">
      <c r="E1285"/>
      <c r="J1285"/>
    </row>
    <row r="1286" spans="5:10" x14ac:dyDescent="0.25">
      <c r="E1286"/>
      <c r="J1286"/>
    </row>
    <row r="1287" spans="5:10" x14ac:dyDescent="0.25">
      <c r="E1287"/>
      <c r="J1287"/>
    </row>
    <row r="1288" spans="5:10" x14ac:dyDescent="0.25">
      <c r="E1288"/>
      <c r="J1288"/>
    </row>
    <row r="1289" spans="5:10" x14ac:dyDescent="0.25">
      <c r="E1289"/>
      <c r="J1289"/>
    </row>
    <row r="1290" spans="5:10" x14ac:dyDescent="0.25">
      <c r="E1290"/>
      <c r="J1290"/>
    </row>
    <row r="1291" spans="5:10" x14ac:dyDescent="0.25">
      <c r="E1291"/>
      <c r="J1291"/>
    </row>
    <row r="1292" spans="5:10" x14ac:dyDescent="0.25">
      <c r="E1292"/>
      <c r="J1292"/>
    </row>
    <row r="1293" spans="5:10" x14ac:dyDescent="0.25">
      <c r="E1293"/>
      <c r="J1293"/>
    </row>
    <row r="1294" spans="5:10" x14ac:dyDescent="0.25">
      <c r="E1294"/>
      <c r="J1294"/>
    </row>
    <row r="1295" spans="5:10" x14ac:dyDescent="0.25">
      <c r="E1295"/>
      <c r="J1295"/>
    </row>
    <row r="1296" spans="5:10" x14ac:dyDescent="0.25">
      <c r="E1296"/>
      <c r="J1296"/>
    </row>
    <row r="1297" spans="5:10" x14ac:dyDescent="0.25">
      <c r="E1297"/>
      <c r="J1297"/>
    </row>
    <row r="1298" spans="5:10" x14ac:dyDescent="0.25">
      <c r="E1298"/>
      <c r="J1298"/>
    </row>
    <row r="1299" spans="5:10" x14ac:dyDescent="0.25">
      <c r="E1299"/>
      <c r="J1299"/>
    </row>
    <row r="1300" spans="5:10" x14ac:dyDescent="0.25">
      <c r="E1300"/>
      <c r="J1300"/>
    </row>
    <row r="1301" spans="5:10" x14ac:dyDescent="0.25">
      <c r="E1301"/>
      <c r="J1301"/>
    </row>
    <row r="1302" spans="5:10" x14ac:dyDescent="0.25">
      <c r="E1302"/>
      <c r="J1302"/>
    </row>
    <row r="1303" spans="5:10" x14ac:dyDescent="0.25">
      <c r="E1303"/>
      <c r="J1303"/>
    </row>
    <row r="1304" spans="5:10" x14ac:dyDescent="0.25">
      <c r="E1304"/>
      <c r="J1304"/>
    </row>
    <row r="1305" spans="5:10" x14ac:dyDescent="0.25">
      <c r="E1305"/>
      <c r="J1305"/>
    </row>
    <row r="1306" spans="5:10" x14ac:dyDescent="0.25">
      <c r="E1306"/>
      <c r="J1306"/>
    </row>
    <row r="1307" spans="5:10" x14ac:dyDescent="0.25">
      <c r="E1307"/>
      <c r="J1307"/>
    </row>
    <row r="1308" spans="5:10" x14ac:dyDescent="0.25">
      <c r="E1308"/>
      <c r="J1308"/>
    </row>
    <row r="1309" spans="5:10" x14ac:dyDescent="0.25">
      <c r="E1309"/>
      <c r="J1309"/>
    </row>
    <row r="1310" spans="5:10" x14ac:dyDescent="0.25">
      <c r="E1310"/>
      <c r="J1310"/>
    </row>
    <row r="1311" spans="5:10" x14ac:dyDescent="0.25">
      <c r="E1311"/>
      <c r="J1311"/>
    </row>
    <row r="1312" spans="5:10" x14ac:dyDescent="0.25">
      <c r="E1312"/>
      <c r="J1312"/>
    </row>
    <row r="1313" spans="5:10" x14ac:dyDescent="0.25">
      <c r="E1313"/>
      <c r="J1313"/>
    </row>
    <row r="1314" spans="5:10" x14ac:dyDescent="0.25">
      <c r="E1314"/>
      <c r="J1314"/>
    </row>
    <row r="1315" spans="5:10" x14ac:dyDescent="0.25">
      <c r="E1315"/>
      <c r="J1315"/>
    </row>
    <row r="1316" spans="5:10" x14ac:dyDescent="0.25">
      <c r="E1316"/>
      <c r="J1316"/>
    </row>
    <row r="1317" spans="5:10" x14ac:dyDescent="0.25">
      <c r="E1317"/>
      <c r="J1317"/>
    </row>
    <row r="1318" spans="5:10" x14ac:dyDescent="0.25">
      <c r="E1318"/>
      <c r="J1318"/>
    </row>
    <row r="1319" spans="5:10" x14ac:dyDescent="0.25">
      <c r="E1319"/>
      <c r="J1319"/>
    </row>
    <row r="1320" spans="5:10" x14ac:dyDescent="0.25">
      <c r="E1320"/>
      <c r="J1320"/>
    </row>
    <row r="1321" spans="5:10" x14ac:dyDescent="0.25">
      <c r="E1321"/>
      <c r="J1321"/>
    </row>
    <row r="1322" spans="5:10" x14ac:dyDescent="0.25">
      <c r="E1322"/>
      <c r="J1322"/>
    </row>
    <row r="1323" spans="5:10" x14ac:dyDescent="0.25">
      <c r="E1323"/>
      <c r="J1323"/>
    </row>
    <row r="1324" spans="5:10" x14ac:dyDescent="0.25">
      <c r="E1324"/>
      <c r="J1324"/>
    </row>
    <row r="1325" spans="5:10" x14ac:dyDescent="0.25">
      <c r="E1325"/>
      <c r="J1325"/>
    </row>
    <row r="1326" spans="5:10" x14ac:dyDescent="0.25">
      <c r="E1326"/>
      <c r="J1326"/>
    </row>
    <row r="1327" spans="5:10" x14ac:dyDescent="0.25">
      <c r="E1327"/>
      <c r="J1327"/>
    </row>
    <row r="1328" spans="5:10" x14ac:dyDescent="0.25">
      <c r="E1328"/>
      <c r="J1328"/>
    </row>
    <row r="1329" spans="5:10" x14ac:dyDescent="0.25">
      <c r="E1329"/>
      <c r="J1329"/>
    </row>
    <row r="1330" spans="5:10" x14ac:dyDescent="0.25">
      <c r="E1330"/>
      <c r="J1330"/>
    </row>
    <row r="1331" spans="5:10" x14ac:dyDescent="0.25">
      <c r="E1331"/>
      <c r="J1331"/>
    </row>
    <row r="1332" spans="5:10" x14ac:dyDescent="0.25">
      <c r="E1332"/>
      <c r="J1332"/>
    </row>
    <row r="1333" spans="5:10" x14ac:dyDescent="0.25">
      <c r="E1333"/>
      <c r="J1333"/>
    </row>
    <row r="1334" spans="5:10" x14ac:dyDescent="0.25">
      <c r="E1334"/>
      <c r="J1334"/>
    </row>
    <row r="1335" spans="5:10" x14ac:dyDescent="0.25">
      <c r="E1335"/>
      <c r="J1335"/>
    </row>
    <row r="1336" spans="5:10" x14ac:dyDescent="0.25">
      <c r="E1336"/>
      <c r="J1336"/>
    </row>
    <row r="1337" spans="5:10" x14ac:dyDescent="0.25">
      <c r="E1337"/>
      <c r="J1337"/>
    </row>
    <row r="1338" spans="5:10" x14ac:dyDescent="0.25">
      <c r="E1338"/>
      <c r="J1338"/>
    </row>
    <row r="1339" spans="5:10" x14ac:dyDescent="0.25">
      <c r="E1339"/>
      <c r="J1339"/>
    </row>
    <row r="1340" spans="5:10" x14ac:dyDescent="0.25">
      <c r="E1340"/>
      <c r="J1340"/>
    </row>
    <row r="1341" spans="5:10" x14ac:dyDescent="0.25">
      <c r="E1341"/>
      <c r="J1341"/>
    </row>
    <row r="1342" spans="5:10" x14ac:dyDescent="0.25">
      <c r="E1342"/>
      <c r="J1342"/>
    </row>
    <row r="1343" spans="5:10" x14ac:dyDescent="0.25">
      <c r="E1343"/>
      <c r="J1343"/>
    </row>
    <row r="1344" spans="5:10" x14ac:dyDescent="0.25">
      <c r="E1344"/>
      <c r="J1344"/>
    </row>
    <row r="1345" spans="5:10" x14ac:dyDescent="0.25">
      <c r="E1345"/>
      <c r="J1345"/>
    </row>
    <row r="1346" spans="5:10" x14ac:dyDescent="0.25">
      <c r="E1346"/>
      <c r="J1346"/>
    </row>
    <row r="1347" spans="5:10" x14ac:dyDescent="0.25">
      <c r="E1347"/>
      <c r="J1347"/>
    </row>
    <row r="1348" spans="5:10" x14ac:dyDescent="0.25">
      <c r="E1348"/>
      <c r="J1348"/>
    </row>
    <row r="1349" spans="5:10" x14ac:dyDescent="0.25">
      <c r="E1349"/>
      <c r="J1349"/>
    </row>
    <row r="1350" spans="5:10" x14ac:dyDescent="0.25">
      <c r="E1350"/>
      <c r="J1350"/>
    </row>
    <row r="1351" spans="5:10" x14ac:dyDescent="0.25">
      <c r="E1351"/>
      <c r="J1351"/>
    </row>
    <row r="1352" spans="5:10" x14ac:dyDescent="0.25">
      <c r="E1352"/>
      <c r="J1352"/>
    </row>
    <row r="1353" spans="5:10" x14ac:dyDescent="0.25">
      <c r="E1353"/>
      <c r="J1353"/>
    </row>
    <row r="1354" spans="5:10" x14ac:dyDescent="0.25">
      <c r="E1354"/>
      <c r="J1354"/>
    </row>
    <row r="1355" spans="5:10" x14ac:dyDescent="0.25">
      <c r="E1355"/>
      <c r="J1355"/>
    </row>
    <row r="1356" spans="5:10" x14ac:dyDescent="0.25">
      <c r="E1356"/>
      <c r="J1356"/>
    </row>
    <row r="1357" spans="5:10" x14ac:dyDescent="0.25">
      <c r="E1357"/>
      <c r="J1357"/>
    </row>
    <row r="1358" spans="5:10" x14ac:dyDescent="0.25">
      <c r="E1358"/>
      <c r="J1358"/>
    </row>
    <row r="1359" spans="5:10" x14ac:dyDescent="0.25">
      <c r="E1359"/>
      <c r="J1359"/>
    </row>
    <row r="1360" spans="5:10" x14ac:dyDescent="0.25">
      <c r="E1360"/>
      <c r="J1360"/>
    </row>
    <row r="1361" spans="5:10" x14ac:dyDescent="0.25">
      <c r="E1361"/>
      <c r="J1361"/>
    </row>
    <row r="1362" spans="5:10" x14ac:dyDescent="0.25">
      <c r="E1362"/>
      <c r="J1362"/>
    </row>
    <row r="1363" spans="5:10" x14ac:dyDescent="0.25">
      <c r="E1363"/>
      <c r="J1363"/>
    </row>
    <row r="1364" spans="5:10" x14ac:dyDescent="0.25">
      <c r="E1364"/>
      <c r="J1364"/>
    </row>
    <row r="1365" spans="5:10" x14ac:dyDescent="0.25">
      <c r="E1365"/>
      <c r="J1365"/>
    </row>
    <row r="1366" spans="5:10" x14ac:dyDescent="0.25">
      <c r="E1366"/>
      <c r="J1366"/>
    </row>
    <row r="1367" spans="5:10" x14ac:dyDescent="0.25">
      <c r="E1367"/>
      <c r="J1367"/>
    </row>
    <row r="1368" spans="5:10" x14ac:dyDescent="0.25">
      <c r="E1368"/>
      <c r="J1368"/>
    </row>
    <row r="1369" spans="5:10" x14ac:dyDescent="0.25">
      <c r="E1369"/>
      <c r="J1369"/>
    </row>
    <row r="1370" spans="5:10" x14ac:dyDescent="0.25">
      <c r="E1370"/>
      <c r="J1370"/>
    </row>
    <row r="1371" spans="5:10" x14ac:dyDescent="0.25">
      <c r="E1371"/>
      <c r="J1371"/>
    </row>
    <row r="1372" spans="5:10" x14ac:dyDescent="0.25">
      <c r="E1372"/>
      <c r="J1372"/>
    </row>
    <row r="1373" spans="5:10" x14ac:dyDescent="0.25">
      <c r="E1373"/>
      <c r="J1373"/>
    </row>
    <row r="1374" spans="5:10" x14ac:dyDescent="0.25">
      <c r="E1374"/>
      <c r="J1374"/>
    </row>
    <row r="1375" spans="5:10" x14ac:dyDescent="0.25">
      <c r="E1375"/>
      <c r="J1375"/>
    </row>
    <row r="1376" spans="5:10" x14ac:dyDescent="0.25">
      <c r="E1376"/>
      <c r="J1376"/>
    </row>
    <row r="1377" spans="5:10" x14ac:dyDescent="0.25">
      <c r="E1377"/>
      <c r="J1377"/>
    </row>
    <row r="1378" spans="5:10" x14ac:dyDescent="0.25">
      <c r="E1378"/>
      <c r="J1378"/>
    </row>
    <row r="1379" spans="5:10" x14ac:dyDescent="0.25">
      <c r="E1379"/>
      <c r="J1379"/>
    </row>
    <row r="1380" spans="5:10" x14ac:dyDescent="0.25">
      <c r="E1380"/>
      <c r="J1380"/>
    </row>
    <row r="1381" spans="5:10" x14ac:dyDescent="0.25">
      <c r="E1381"/>
      <c r="J1381"/>
    </row>
    <row r="1382" spans="5:10" x14ac:dyDescent="0.25">
      <c r="E1382"/>
      <c r="J1382"/>
    </row>
    <row r="1383" spans="5:10" x14ac:dyDescent="0.25">
      <c r="E1383"/>
      <c r="J1383"/>
    </row>
    <row r="1384" spans="5:10" x14ac:dyDescent="0.25">
      <c r="E1384"/>
      <c r="J1384"/>
    </row>
    <row r="1385" spans="5:10" x14ac:dyDescent="0.25">
      <c r="E1385"/>
      <c r="J1385"/>
    </row>
    <row r="1386" spans="5:10" x14ac:dyDescent="0.25">
      <c r="E1386"/>
      <c r="J1386"/>
    </row>
    <row r="1387" spans="5:10" x14ac:dyDescent="0.25">
      <c r="E1387"/>
      <c r="J1387"/>
    </row>
    <row r="1388" spans="5:10" x14ac:dyDescent="0.25">
      <c r="E1388"/>
      <c r="J1388"/>
    </row>
    <row r="1389" spans="5:10" x14ac:dyDescent="0.25">
      <c r="E1389"/>
      <c r="J1389"/>
    </row>
    <row r="1390" spans="5:10" x14ac:dyDescent="0.25">
      <c r="E1390"/>
      <c r="J1390"/>
    </row>
    <row r="1391" spans="5:10" x14ac:dyDescent="0.25">
      <c r="E1391"/>
      <c r="J1391"/>
    </row>
    <row r="1392" spans="5:10" x14ac:dyDescent="0.25">
      <c r="E1392"/>
      <c r="J1392"/>
    </row>
    <row r="1393" spans="5:10" x14ac:dyDescent="0.25">
      <c r="E1393"/>
      <c r="J1393"/>
    </row>
    <row r="1394" spans="5:10" x14ac:dyDescent="0.25">
      <c r="E1394"/>
      <c r="J1394"/>
    </row>
    <row r="1395" spans="5:10" x14ac:dyDescent="0.25">
      <c r="E1395"/>
      <c r="J1395"/>
    </row>
    <row r="1396" spans="5:10" x14ac:dyDescent="0.25">
      <c r="E1396"/>
      <c r="J1396"/>
    </row>
    <row r="1397" spans="5:10" x14ac:dyDescent="0.25">
      <c r="E1397"/>
      <c r="J1397"/>
    </row>
    <row r="1398" spans="5:10" x14ac:dyDescent="0.25">
      <c r="E1398"/>
      <c r="J1398"/>
    </row>
    <row r="1399" spans="5:10" x14ac:dyDescent="0.25">
      <c r="E1399"/>
      <c r="J1399"/>
    </row>
    <row r="1400" spans="5:10" x14ac:dyDescent="0.25">
      <c r="E1400"/>
      <c r="J1400"/>
    </row>
    <row r="1401" spans="5:10" x14ac:dyDescent="0.25">
      <c r="E1401"/>
      <c r="J1401"/>
    </row>
    <row r="1402" spans="5:10" x14ac:dyDescent="0.25">
      <c r="E1402"/>
      <c r="J1402"/>
    </row>
    <row r="1403" spans="5:10" x14ac:dyDescent="0.25">
      <c r="E1403"/>
      <c r="J1403"/>
    </row>
    <row r="1404" spans="5:10" x14ac:dyDescent="0.25">
      <c r="E1404"/>
      <c r="J1404"/>
    </row>
    <row r="1405" spans="5:10" x14ac:dyDescent="0.25">
      <c r="E1405"/>
      <c r="J1405"/>
    </row>
    <row r="1406" spans="5:10" x14ac:dyDescent="0.25">
      <c r="E1406"/>
      <c r="J1406"/>
    </row>
    <row r="1407" spans="5:10" x14ac:dyDescent="0.25">
      <c r="E1407"/>
      <c r="J1407"/>
    </row>
    <row r="1408" spans="5:10" x14ac:dyDescent="0.25">
      <c r="E1408"/>
      <c r="J1408"/>
    </row>
    <row r="1409" spans="5:10" x14ac:dyDescent="0.25">
      <c r="E1409"/>
      <c r="J1409"/>
    </row>
    <row r="1410" spans="5:10" x14ac:dyDescent="0.25">
      <c r="E1410"/>
      <c r="J1410"/>
    </row>
    <row r="1411" spans="5:10" x14ac:dyDescent="0.25">
      <c r="E1411"/>
      <c r="J1411"/>
    </row>
    <row r="1412" spans="5:10" x14ac:dyDescent="0.25">
      <c r="E1412"/>
      <c r="J1412"/>
    </row>
    <row r="1413" spans="5:10" x14ac:dyDescent="0.25">
      <c r="E1413"/>
      <c r="J1413"/>
    </row>
    <row r="1414" spans="5:10" x14ac:dyDescent="0.25">
      <c r="E1414"/>
      <c r="J1414"/>
    </row>
    <row r="1415" spans="5:10" x14ac:dyDescent="0.25">
      <c r="E1415"/>
      <c r="J1415"/>
    </row>
    <row r="1416" spans="5:10" x14ac:dyDescent="0.25">
      <c r="E1416"/>
      <c r="J1416"/>
    </row>
    <row r="1417" spans="5:10" x14ac:dyDescent="0.25">
      <c r="E1417"/>
      <c r="J1417"/>
    </row>
    <row r="1418" spans="5:10" x14ac:dyDescent="0.25">
      <c r="E1418"/>
      <c r="J1418"/>
    </row>
    <row r="1419" spans="5:10" x14ac:dyDescent="0.25">
      <c r="E1419"/>
      <c r="J1419"/>
    </row>
    <row r="1420" spans="5:10" x14ac:dyDescent="0.25">
      <c r="E1420"/>
      <c r="J1420"/>
    </row>
    <row r="1421" spans="5:10" x14ac:dyDescent="0.25">
      <c r="E1421"/>
      <c r="J1421"/>
    </row>
    <row r="1422" spans="5:10" x14ac:dyDescent="0.25">
      <c r="E1422"/>
      <c r="J1422"/>
    </row>
    <row r="1423" spans="5:10" x14ac:dyDescent="0.25">
      <c r="E1423"/>
      <c r="J1423"/>
    </row>
    <row r="1424" spans="5:10" x14ac:dyDescent="0.25">
      <c r="E1424"/>
      <c r="J1424"/>
    </row>
    <row r="1425" spans="5:10" x14ac:dyDescent="0.25">
      <c r="E1425"/>
      <c r="J1425"/>
    </row>
    <row r="1426" spans="5:10" x14ac:dyDescent="0.25">
      <c r="E1426"/>
      <c r="J1426"/>
    </row>
    <row r="1427" spans="5:10" x14ac:dyDescent="0.25">
      <c r="E1427"/>
      <c r="J1427"/>
    </row>
    <row r="1428" spans="5:10" x14ac:dyDescent="0.25">
      <c r="E1428"/>
      <c r="J1428"/>
    </row>
    <row r="1429" spans="5:10" x14ac:dyDescent="0.25">
      <c r="E1429"/>
      <c r="J1429"/>
    </row>
    <row r="1430" spans="5:10" x14ac:dyDescent="0.25">
      <c r="E1430"/>
      <c r="J1430"/>
    </row>
    <row r="1431" spans="5:10" x14ac:dyDescent="0.25">
      <c r="E1431"/>
      <c r="J1431"/>
    </row>
    <row r="1432" spans="5:10" x14ac:dyDescent="0.25">
      <c r="E1432"/>
      <c r="J1432"/>
    </row>
    <row r="1433" spans="5:10" x14ac:dyDescent="0.25">
      <c r="E1433"/>
      <c r="J1433"/>
    </row>
    <row r="1434" spans="5:10" x14ac:dyDescent="0.25">
      <c r="E1434"/>
      <c r="J1434"/>
    </row>
    <row r="1435" spans="5:10" x14ac:dyDescent="0.25">
      <c r="E1435"/>
      <c r="J1435"/>
    </row>
    <row r="1436" spans="5:10" x14ac:dyDescent="0.25">
      <c r="E1436"/>
      <c r="J1436"/>
    </row>
    <row r="1437" spans="5:10" x14ac:dyDescent="0.25">
      <c r="E1437"/>
      <c r="J1437"/>
    </row>
    <row r="1438" spans="5:10" x14ac:dyDescent="0.25">
      <c r="E1438"/>
      <c r="J1438"/>
    </row>
    <row r="1439" spans="5:10" x14ac:dyDescent="0.25">
      <c r="E1439"/>
      <c r="J1439"/>
    </row>
    <row r="1440" spans="5:10" x14ac:dyDescent="0.25">
      <c r="E1440"/>
      <c r="J1440"/>
    </row>
    <row r="1441" spans="5:10" x14ac:dyDescent="0.25">
      <c r="E1441"/>
      <c r="J1441"/>
    </row>
    <row r="1442" spans="5:10" x14ac:dyDescent="0.25">
      <c r="E1442"/>
      <c r="J1442"/>
    </row>
    <row r="1443" spans="5:10" x14ac:dyDescent="0.25">
      <c r="E1443"/>
      <c r="J1443"/>
    </row>
    <row r="1444" spans="5:10" x14ac:dyDescent="0.25">
      <c r="E1444"/>
      <c r="J1444"/>
    </row>
    <row r="1445" spans="5:10" x14ac:dyDescent="0.25">
      <c r="E1445"/>
      <c r="J1445"/>
    </row>
    <row r="1446" spans="5:10" x14ac:dyDescent="0.25">
      <c r="E1446"/>
      <c r="J1446"/>
    </row>
    <row r="1447" spans="5:10" x14ac:dyDescent="0.25">
      <c r="E1447"/>
      <c r="J1447"/>
    </row>
    <row r="1448" spans="5:10" x14ac:dyDescent="0.25">
      <c r="E1448"/>
      <c r="J1448"/>
    </row>
    <row r="1449" spans="5:10" x14ac:dyDescent="0.25">
      <c r="E1449"/>
      <c r="J1449"/>
    </row>
    <row r="1450" spans="5:10" x14ac:dyDescent="0.25">
      <c r="E1450"/>
      <c r="J1450"/>
    </row>
    <row r="1451" spans="5:10" x14ac:dyDescent="0.25">
      <c r="E1451"/>
      <c r="J1451"/>
    </row>
    <row r="1452" spans="5:10" x14ac:dyDescent="0.25">
      <c r="E1452"/>
      <c r="J1452"/>
    </row>
    <row r="1453" spans="5:10" x14ac:dyDescent="0.25">
      <c r="E1453"/>
      <c r="J1453"/>
    </row>
    <row r="1454" spans="5:10" x14ac:dyDescent="0.25">
      <c r="E1454"/>
      <c r="J1454"/>
    </row>
    <row r="1455" spans="5:10" x14ac:dyDescent="0.25">
      <c r="E1455"/>
      <c r="J1455"/>
    </row>
    <row r="1456" spans="5:10" x14ac:dyDescent="0.25">
      <c r="E1456"/>
      <c r="J1456"/>
    </row>
    <row r="1457" spans="5:10" x14ac:dyDescent="0.25">
      <c r="E1457"/>
      <c r="J1457"/>
    </row>
    <row r="1458" spans="5:10" x14ac:dyDescent="0.25">
      <c r="E1458"/>
      <c r="J1458"/>
    </row>
    <row r="1459" spans="5:10" x14ac:dyDescent="0.25">
      <c r="E1459"/>
      <c r="J1459"/>
    </row>
    <row r="1460" spans="5:10" x14ac:dyDescent="0.25">
      <c r="E1460"/>
      <c r="J1460"/>
    </row>
    <row r="1461" spans="5:10" x14ac:dyDescent="0.25">
      <c r="E1461"/>
      <c r="J1461"/>
    </row>
    <row r="1462" spans="5:10" x14ac:dyDescent="0.25">
      <c r="E1462"/>
      <c r="J1462"/>
    </row>
    <row r="1463" spans="5:10" x14ac:dyDescent="0.25">
      <c r="E1463"/>
      <c r="J1463"/>
    </row>
    <row r="1464" spans="5:10" x14ac:dyDescent="0.25">
      <c r="E1464"/>
      <c r="J1464"/>
    </row>
    <row r="1465" spans="5:10" x14ac:dyDescent="0.25">
      <c r="E1465"/>
      <c r="J1465"/>
    </row>
    <row r="1466" spans="5:10" x14ac:dyDescent="0.25">
      <c r="E1466"/>
      <c r="J1466"/>
    </row>
    <row r="1467" spans="5:10" x14ac:dyDescent="0.25">
      <c r="E1467"/>
      <c r="J1467"/>
    </row>
    <row r="1468" spans="5:10" x14ac:dyDescent="0.25">
      <c r="E1468"/>
      <c r="J1468"/>
    </row>
    <row r="1469" spans="5:10" x14ac:dyDescent="0.25">
      <c r="E1469"/>
      <c r="J1469"/>
    </row>
    <row r="1470" spans="5:10" x14ac:dyDescent="0.25">
      <c r="E1470"/>
      <c r="J1470"/>
    </row>
    <row r="1471" spans="5:10" x14ac:dyDescent="0.25">
      <c r="E1471"/>
      <c r="J1471"/>
    </row>
    <row r="1472" spans="5:10" x14ac:dyDescent="0.25">
      <c r="E1472"/>
      <c r="J1472"/>
    </row>
    <row r="1473" spans="5:10" x14ac:dyDescent="0.25">
      <c r="E1473"/>
      <c r="J1473"/>
    </row>
    <row r="1474" spans="5:10" x14ac:dyDescent="0.25">
      <c r="E1474"/>
      <c r="J1474"/>
    </row>
    <row r="1475" spans="5:10" x14ac:dyDescent="0.25">
      <c r="E1475"/>
      <c r="J1475"/>
    </row>
    <row r="1476" spans="5:10" x14ac:dyDescent="0.25">
      <c r="E1476"/>
      <c r="J1476"/>
    </row>
    <row r="1477" spans="5:10" x14ac:dyDescent="0.25">
      <c r="E1477"/>
      <c r="J1477"/>
    </row>
    <row r="1478" spans="5:10" x14ac:dyDescent="0.25">
      <c r="E1478"/>
      <c r="J1478"/>
    </row>
    <row r="1479" spans="5:10" x14ac:dyDescent="0.25">
      <c r="E1479"/>
      <c r="J1479"/>
    </row>
    <row r="1480" spans="5:10" x14ac:dyDescent="0.25">
      <c r="E1480"/>
      <c r="J1480"/>
    </row>
    <row r="1481" spans="5:10" x14ac:dyDescent="0.25">
      <c r="E1481"/>
      <c r="J1481"/>
    </row>
    <row r="1482" spans="5:10" x14ac:dyDescent="0.25">
      <c r="E1482"/>
      <c r="J1482"/>
    </row>
    <row r="1483" spans="5:10" x14ac:dyDescent="0.25">
      <c r="E1483"/>
      <c r="J1483"/>
    </row>
    <row r="1484" spans="5:10" x14ac:dyDescent="0.25">
      <c r="E1484"/>
      <c r="J1484"/>
    </row>
    <row r="1485" spans="5:10" x14ac:dyDescent="0.25">
      <c r="E1485"/>
      <c r="J1485"/>
    </row>
    <row r="1486" spans="5:10" x14ac:dyDescent="0.25">
      <c r="E1486"/>
      <c r="J1486"/>
    </row>
    <row r="1487" spans="5:10" x14ac:dyDescent="0.25">
      <c r="E1487"/>
      <c r="J1487"/>
    </row>
    <row r="1488" spans="5:10" x14ac:dyDescent="0.25">
      <c r="E1488"/>
      <c r="J1488"/>
    </row>
    <row r="1489" spans="5:10" x14ac:dyDescent="0.25">
      <c r="E1489"/>
      <c r="J1489"/>
    </row>
    <row r="1490" spans="5:10" x14ac:dyDescent="0.25">
      <c r="E1490"/>
      <c r="J1490"/>
    </row>
    <row r="1491" spans="5:10" x14ac:dyDescent="0.25">
      <c r="E1491"/>
      <c r="J1491"/>
    </row>
    <row r="1492" spans="5:10" x14ac:dyDescent="0.25">
      <c r="E1492"/>
      <c r="J1492"/>
    </row>
    <row r="1493" spans="5:10" x14ac:dyDescent="0.25">
      <c r="E1493"/>
      <c r="J1493"/>
    </row>
    <row r="1494" spans="5:10" x14ac:dyDescent="0.25">
      <c r="E1494"/>
      <c r="J1494"/>
    </row>
    <row r="1495" spans="5:10" x14ac:dyDescent="0.25">
      <c r="E1495"/>
      <c r="J1495"/>
    </row>
    <row r="1496" spans="5:10" x14ac:dyDescent="0.25">
      <c r="E1496"/>
      <c r="J1496"/>
    </row>
    <row r="1497" spans="5:10" x14ac:dyDescent="0.25">
      <c r="E1497"/>
      <c r="J1497"/>
    </row>
    <row r="1498" spans="5:10" x14ac:dyDescent="0.25">
      <c r="E1498"/>
      <c r="J1498"/>
    </row>
    <row r="1499" spans="5:10" x14ac:dyDescent="0.25">
      <c r="E1499"/>
      <c r="J1499"/>
    </row>
    <row r="1500" spans="5:10" x14ac:dyDescent="0.25">
      <c r="E1500"/>
      <c r="J1500"/>
    </row>
    <row r="1501" spans="5:10" x14ac:dyDescent="0.25">
      <c r="E1501"/>
      <c r="J1501"/>
    </row>
    <row r="1502" spans="5:10" x14ac:dyDescent="0.25">
      <c r="E1502"/>
      <c r="J1502"/>
    </row>
    <row r="1503" spans="5:10" x14ac:dyDescent="0.25">
      <c r="E1503"/>
      <c r="J1503"/>
    </row>
    <row r="1504" spans="5:10" x14ac:dyDescent="0.25">
      <c r="E1504"/>
      <c r="J1504"/>
    </row>
    <row r="1505" spans="5:10" x14ac:dyDescent="0.25">
      <c r="E1505"/>
      <c r="J1505"/>
    </row>
    <row r="1506" spans="5:10" x14ac:dyDescent="0.25">
      <c r="E1506"/>
      <c r="J1506"/>
    </row>
    <row r="1507" spans="5:10" x14ac:dyDescent="0.25">
      <c r="E1507"/>
      <c r="J1507"/>
    </row>
    <row r="1508" spans="5:10" x14ac:dyDescent="0.25">
      <c r="E1508"/>
      <c r="J1508"/>
    </row>
    <row r="1509" spans="5:10" x14ac:dyDescent="0.25">
      <c r="E1509"/>
      <c r="J1509"/>
    </row>
    <row r="1510" spans="5:10" x14ac:dyDescent="0.25">
      <c r="E1510"/>
      <c r="J1510"/>
    </row>
    <row r="1511" spans="5:10" x14ac:dyDescent="0.25">
      <c r="E1511"/>
      <c r="J1511"/>
    </row>
    <row r="1512" spans="5:10" x14ac:dyDescent="0.25">
      <c r="E1512"/>
      <c r="J1512"/>
    </row>
    <row r="1513" spans="5:10" x14ac:dyDescent="0.25">
      <c r="E1513"/>
      <c r="J1513"/>
    </row>
    <row r="1514" spans="5:10" x14ac:dyDescent="0.25">
      <c r="E1514"/>
      <c r="J1514"/>
    </row>
    <row r="1515" spans="5:10" x14ac:dyDescent="0.25">
      <c r="E1515"/>
      <c r="J1515"/>
    </row>
    <row r="1516" spans="5:10" x14ac:dyDescent="0.25">
      <c r="E1516"/>
      <c r="J1516"/>
    </row>
    <row r="1517" spans="5:10" x14ac:dyDescent="0.25">
      <c r="E1517"/>
      <c r="J1517"/>
    </row>
    <row r="1518" spans="5:10" x14ac:dyDescent="0.25">
      <c r="E1518"/>
      <c r="J1518"/>
    </row>
    <row r="1519" spans="5:10" x14ac:dyDescent="0.25">
      <c r="E1519"/>
      <c r="J1519"/>
    </row>
    <row r="1520" spans="5:10" x14ac:dyDescent="0.25">
      <c r="E1520"/>
      <c r="J1520"/>
    </row>
    <row r="1521" spans="5:10" x14ac:dyDescent="0.25">
      <c r="E1521"/>
      <c r="J1521"/>
    </row>
    <row r="1522" spans="5:10" x14ac:dyDescent="0.25">
      <c r="E1522"/>
      <c r="J1522"/>
    </row>
    <row r="1523" spans="5:10" x14ac:dyDescent="0.25">
      <c r="E1523"/>
      <c r="J1523"/>
    </row>
    <row r="1524" spans="5:10" x14ac:dyDescent="0.25">
      <c r="E1524"/>
      <c r="J1524"/>
    </row>
    <row r="1525" spans="5:10" x14ac:dyDescent="0.25">
      <c r="E1525"/>
      <c r="J1525"/>
    </row>
    <row r="1526" spans="5:10" x14ac:dyDescent="0.25">
      <c r="E1526"/>
      <c r="J1526"/>
    </row>
    <row r="1527" spans="5:10" x14ac:dyDescent="0.25">
      <c r="E1527"/>
      <c r="J1527"/>
    </row>
    <row r="1528" spans="5:10" x14ac:dyDescent="0.25">
      <c r="E1528"/>
      <c r="J1528"/>
    </row>
    <row r="1529" spans="5:10" x14ac:dyDescent="0.25">
      <c r="E1529"/>
      <c r="J1529"/>
    </row>
    <row r="1530" spans="5:10" x14ac:dyDescent="0.25">
      <c r="E1530"/>
      <c r="J1530"/>
    </row>
    <row r="1531" spans="5:10" x14ac:dyDescent="0.25">
      <c r="E1531"/>
      <c r="J1531"/>
    </row>
    <row r="1532" spans="5:10" x14ac:dyDescent="0.25">
      <c r="E1532"/>
      <c r="J1532"/>
    </row>
    <row r="1533" spans="5:10" x14ac:dyDescent="0.25">
      <c r="E1533"/>
      <c r="J1533"/>
    </row>
    <row r="1534" spans="5:10" x14ac:dyDescent="0.25">
      <c r="E1534"/>
      <c r="J1534"/>
    </row>
    <row r="1535" spans="5:10" x14ac:dyDescent="0.25">
      <c r="E1535"/>
      <c r="J1535"/>
    </row>
    <row r="1536" spans="5:10" x14ac:dyDescent="0.25">
      <c r="E1536"/>
      <c r="J1536"/>
    </row>
    <row r="1537" spans="5:10" x14ac:dyDescent="0.25">
      <c r="E1537"/>
      <c r="J1537"/>
    </row>
    <row r="1538" spans="5:10" x14ac:dyDescent="0.25">
      <c r="E1538"/>
      <c r="J1538"/>
    </row>
    <row r="1539" spans="5:10" x14ac:dyDescent="0.25">
      <c r="E1539"/>
      <c r="J1539"/>
    </row>
    <row r="1540" spans="5:10" x14ac:dyDescent="0.25">
      <c r="E1540"/>
      <c r="J1540"/>
    </row>
    <row r="1541" spans="5:10" x14ac:dyDescent="0.25">
      <c r="E1541"/>
      <c r="J1541"/>
    </row>
    <row r="1542" spans="5:10" x14ac:dyDescent="0.25">
      <c r="E1542"/>
      <c r="J1542"/>
    </row>
    <row r="1543" spans="5:10" x14ac:dyDescent="0.25">
      <c r="E1543"/>
      <c r="J1543"/>
    </row>
    <row r="1544" spans="5:10" x14ac:dyDescent="0.25">
      <c r="E1544"/>
      <c r="J1544"/>
    </row>
    <row r="1545" spans="5:10" x14ac:dyDescent="0.25">
      <c r="E1545"/>
      <c r="J1545"/>
    </row>
    <row r="1546" spans="5:10" x14ac:dyDescent="0.25">
      <c r="E1546"/>
      <c r="J1546"/>
    </row>
    <row r="1547" spans="5:10" x14ac:dyDescent="0.25">
      <c r="E1547"/>
      <c r="J1547"/>
    </row>
    <row r="1548" spans="5:10" x14ac:dyDescent="0.25">
      <c r="E1548"/>
      <c r="J1548"/>
    </row>
    <row r="1549" spans="5:10" x14ac:dyDescent="0.25">
      <c r="E1549"/>
      <c r="J1549"/>
    </row>
    <row r="1550" spans="5:10" x14ac:dyDescent="0.25">
      <c r="E1550"/>
      <c r="J1550"/>
    </row>
    <row r="1551" spans="5:10" x14ac:dyDescent="0.25">
      <c r="E1551"/>
      <c r="J1551"/>
    </row>
    <row r="1552" spans="5:10" x14ac:dyDescent="0.25">
      <c r="E1552"/>
      <c r="J1552"/>
    </row>
    <row r="1553" spans="5:10" x14ac:dyDescent="0.25">
      <c r="E1553"/>
      <c r="J1553"/>
    </row>
    <row r="1554" spans="5:10" x14ac:dyDescent="0.25">
      <c r="E1554"/>
      <c r="J1554"/>
    </row>
    <row r="1555" spans="5:10" x14ac:dyDescent="0.25">
      <c r="E1555"/>
      <c r="J1555"/>
    </row>
    <row r="1556" spans="5:10" x14ac:dyDescent="0.25">
      <c r="E1556"/>
      <c r="J1556"/>
    </row>
    <row r="1557" spans="5:10" x14ac:dyDescent="0.25">
      <c r="E1557"/>
      <c r="J1557"/>
    </row>
    <row r="1558" spans="5:10" x14ac:dyDescent="0.25">
      <c r="E1558"/>
      <c r="J1558"/>
    </row>
    <row r="1559" spans="5:10" x14ac:dyDescent="0.25">
      <c r="E1559"/>
      <c r="J1559"/>
    </row>
    <row r="1560" spans="5:10" x14ac:dyDescent="0.25">
      <c r="E1560"/>
      <c r="J1560"/>
    </row>
    <row r="1561" spans="5:10" x14ac:dyDescent="0.25">
      <c r="E1561"/>
      <c r="J1561"/>
    </row>
    <row r="1562" spans="5:10" x14ac:dyDescent="0.25">
      <c r="E1562"/>
      <c r="J1562"/>
    </row>
    <row r="1563" spans="5:10" x14ac:dyDescent="0.25">
      <c r="E1563"/>
      <c r="J1563"/>
    </row>
    <row r="1564" spans="5:10" x14ac:dyDescent="0.25">
      <c r="E1564"/>
      <c r="J1564"/>
    </row>
    <row r="1565" spans="5:10" x14ac:dyDescent="0.25">
      <c r="E1565"/>
      <c r="J1565"/>
    </row>
    <row r="1566" spans="5:10" x14ac:dyDescent="0.25">
      <c r="E1566"/>
      <c r="J1566"/>
    </row>
    <row r="1567" spans="5:10" x14ac:dyDescent="0.25">
      <c r="E1567"/>
      <c r="J1567"/>
    </row>
    <row r="1568" spans="5:10" x14ac:dyDescent="0.25">
      <c r="E1568"/>
      <c r="J1568"/>
    </row>
    <row r="1569" spans="5:10" x14ac:dyDescent="0.25">
      <c r="E1569"/>
      <c r="J1569"/>
    </row>
    <row r="1570" spans="5:10" x14ac:dyDescent="0.25">
      <c r="E1570"/>
      <c r="J1570"/>
    </row>
    <row r="1571" spans="5:10" x14ac:dyDescent="0.25">
      <c r="E1571"/>
      <c r="J1571"/>
    </row>
    <row r="1572" spans="5:10" x14ac:dyDescent="0.25">
      <c r="E1572"/>
      <c r="J1572"/>
    </row>
    <row r="1573" spans="5:10" x14ac:dyDescent="0.25">
      <c r="E1573"/>
      <c r="J1573"/>
    </row>
    <row r="1574" spans="5:10" x14ac:dyDescent="0.25">
      <c r="E1574"/>
      <c r="J1574"/>
    </row>
    <row r="1575" spans="5:10" x14ac:dyDescent="0.25">
      <c r="E1575"/>
      <c r="J1575"/>
    </row>
    <row r="1576" spans="5:10" x14ac:dyDescent="0.25">
      <c r="E1576"/>
      <c r="J1576"/>
    </row>
    <row r="1577" spans="5:10" x14ac:dyDescent="0.25">
      <c r="E1577"/>
      <c r="J1577"/>
    </row>
    <row r="1578" spans="5:10" x14ac:dyDescent="0.25">
      <c r="E1578"/>
      <c r="J1578"/>
    </row>
    <row r="1579" spans="5:10" x14ac:dyDescent="0.25">
      <c r="E1579"/>
      <c r="J1579"/>
    </row>
    <row r="1580" spans="5:10" x14ac:dyDescent="0.25">
      <c r="E1580"/>
      <c r="J1580"/>
    </row>
    <row r="1581" spans="5:10" x14ac:dyDescent="0.25">
      <c r="E1581"/>
      <c r="J1581"/>
    </row>
    <row r="1582" spans="5:10" x14ac:dyDescent="0.25">
      <c r="E1582"/>
      <c r="J1582"/>
    </row>
    <row r="1583" spans="5:10" x14ac:dyDescent="0.25">
      <c r="E1583"/>
      <c r="J1583"/>
    </row>
    <row r="1584" spans="5:10" x14ac:dyDescent="0.25">
      <c r="E1584"/>
      <c r="J1584"/>
    </row>
    <row r="1585" spans="5:10" x14ac:dyDescent="0.25">
      <c r="E1585"/>
      <c r="J1585"/>
    </row>
    <row r="1586" spans="5:10" x14ac:dyDescent="0.25">
      <c r="E1586"/>
      <c r="J1586"/>
    </row>
    <row r="1587" spans="5:10" x14ac:dyDescent="0.25">
      <c r="E1587"/>
      <c r="J1587"/>
    </row>
    <row r="1588" spans="5:10" x14ac:dyDescent="0.25">
      <c r="E1588"/>
      <c r="J1588"/>
    </row>
    <row r="1589" spans="5:10" x14ac:dyDescent="0.25">
      <c r="E1589"/>
      <c r="J1589"/>
    </row>
    <row r="1590" spans="5:10" x14ac:dyDescent="0.25">
      <c r="E1590"/>
      <c r="J1590"/>
    </row>
    <row r="1591" spans="5:10" x14ac:dyDescent="0.25">
      <c r="E1591"/>
      <c r="J1591"/>
    </row>
    <row r="1592" spans="5:10" x14ac:dyDescent="0.25">
      <c r="E1592"/>
      <c r="J1592"/>
    </row>
    <row r="1593" spans="5:10" x14ac:dyDescent="0.25">
      <c r="E1593"/>
      <c r="J1593"/>
    </row>
    <row r="1594" spans="5:10" x14ac:dyDescent="0.25">
      <c r="E1594"/>
      <c r="J1594"/>
    </row>
    <row r="1595" spans="5:10" x14ac:dyDescent="0.25">
      <c r="E1595"/>
      <c r="J1595"/>
    </row>
    <row r="1596" spans="5:10" x14ac:dyDescent="0.25">
      <c r="E1596"/>
      <c r="J1596"/>
    </row>
    <row r="1597" spans="5:10" x14ac:dyDescent="0.25">
      <c r="E1597"/>
      <c r="J1597"/>
    </row>
    <row r="1598" spans="5:10" x14ac:dyDescent="0.25">
      <c r="E1598"/>
      <c r="J1598"/>
    </row>
    <row r="1599" spans="5:10" x14ac:dyDescent="0.25">
      <c r="E1599"/>
      <c r="J1599"/>
    </row>
    <row r="1600" spans="5:10" x14ac:dyDescent="0.25">
      <c r="E1600"/>
      <c r="J1600"/>
    </row>
    <row r="1601" spans="5:10" x14ac:dyDescent="0.25">
      <c r="E1601"/>
      <c r="J1601"/>
    </row>
    <row r="1602" spans="5:10" x14ac:dyDescent="0.25">
      <c r="E1602"/>
      <c r="J1602"/>
    </row>
    <row r="1603" spans="5:10" x14ac:dyDescent="0.25">
      <c r="E1603"/>
      <c r="J1603"/>
    </row>
    <row r="1604" spans="5:10" x14ac:dyDescent="0.25">
      <c r="E1604"/>
      <c r="J1604"/>
    </row>
    <row r="1605" spans="5:10" x14ac:dyDescent="0.25">
      <c r="E1605"/>
      <c r="J1605"/>
    </row>
    <row r="1606" spans="5:10" x14ac:dyDescent="0.25">
      <c r="E1606"/>
      <c r="J1606"/>
    </row>
    <row r="1607" spans="5:10" x14ac:dyDescent="0.25">
      <c r="E1607"/>
      <c r="J1607"/>
    </row>
    <row r="1608" spans="5:10" x14ac:dyDescent="0.25">
      <c r="E1608"/>
      <c r="J1608"/>
    </row>
    <row r="1609" spans="5:10" x14ac:dyDescent="0.25">
      <c r="E1609"/>
      <c r="J1609"/>
    </row>
    <row r="1610" spans="5:10" x14ac:dyDescent="0.25">
      <c r="E1610"/>
      <c r="J1610"/>
    </row>
    <row r="1611" spans="5:10" x14ac:dyDescent="0.25">
      <c r="E1611"/>
      <c r="J1611"/>
    </row>
    <row r="1612" spans="5:10" x14ac:dyDescent="0.25">
      <c r="E1612"/>
      <c r="J1612"/>
    </row>
    <row r="1613" spans="5:10" x14ac:dyDescent="0.25">
      <c r="E1613"/>
      <c r="J1613"/>
    </row>
    <row r="1614" spans="5:10" x14ac:dyDescent="0.25">
      <c r="E1614"/>
      <c r="J1614"/>
    </row>
    <row r="1615" spans="5:10" x14ac:dyDescent="0.25">
      <c r="E1615"/>
      <c r="J1615"/>
    </row>
    <row r="1616" spans="5:10" x14ac:dyDescent="0.25">
      <c r="E1616"/>
      <c r="J1616"/>
    </row>
    <row r="1617" spans="5:10" x14ac:dyDescent="0.25">
      <c r="E1617"/>
      <c r="J1617"/>
    </row>
    <row r="1618" spans="5:10" x14ac:dyDescent="0.25">
      <c r="E1618"/>
      <c r="J1618"/>
    </row>
    <row r="1619" spans="5:10" x14ac:dyDescent="0.25">
      <c r="E1619"/>
      <c r="J1619"/>
    </row>
    <row r="1620" spans="5:10" x14ac:dyDescent="0.25">
      <c r="E1620"/>
      <c r="J1620"/>
    </row>
    <row r="1621" spans="5:10" x14ac:dyDescent="0.25">
      <c r="E1621"/>
      <c r="J1621"/>
    </row>
    <row r="1622" spans="5:10" x14ac:dyDescent="0.25">
      <c r="E1622"/>
      <c r="J1622"/>
    </row>
    <row r="1623" spans="5:10" x14ac:dyDescent="0.25">
      <c r="E1623"/>
      <c r="J1623"/>
    </row>
    <row r="1624" spans="5:10" x14ac:dyDescent="0.25">
      <c r="E1624"/>
      <c r="J1624"/>
    </row>
    <row r="1625" spans="5:10" x14ac:dyDescent="0.25">
      <c r="E1625"/>
      <c r="J1625"/>
    </row>
    <row r="1626" spans="5:10" x14ac:dyDescent="0.25">
      <c r="E1626"/>
      <c r="J1626"/>
    </row>
    <row r="1627" spans="5:10" x14ac:dyDescent="0.25">
      <c r="E1627"/>
      <c r="J1627"/>
    </row>
    <row r="1628" spans="5:10" x14ac:dyDescent="0.25">
      <c r="E1628"/>
      <c r="J1628"/>
    </row>
    <row r="1629" spans="5:10" x14ac:dyDescent="0.25">
      <c r="E1629"/>
      <c r="J1629"/>
    </row>
    <row r="1630" spans="5:10" x14ac:dyDescent="0.25">
      <c r="E1630"/>
      <c r="J1630"/>
    </row>
    <row r="1631" spans="5:10" x14ac:dyDescent="0.25">
      <c r="E1631"/>
      <c r="J1631"/>
    </row>
    <row r="1632" spans="5:10" x14ac:dyDescent="0.25">
      <c r="E1632"/>
      <c r="J1632"/>
    </row>
    <row r="1633" spans="5:10" x14ac:dyDescent="0.25">
      <c r="E1633"/>
      <c r="J1633"/>
    </row>
    <row r="1634" spans="5:10" x14ac:dyDescent="0.25">
      <c r="E1634"/>
      <c r="J1634"/>
    </row>
    <row r="1635" spans="5:10" x14ac:dyDescent="0.25">
      <c r="E1635"/>
      <c r="J1635"/>
    </row>
    <row r="1636" spans="5:10" x14ac:dyDescent="0.25">
      <c r="E1636"/>
      <c r="J1636"/>
    </row>
    <row r="1637" spans="5:10" x14ac:dyDescent="0.25">
      <c r="E1637"/>
      <c r="J1637"/>
    </row>
    <row r="1638" spans="5:10" x14ac:dyDescent="0.25">
      <c r="E1638"/>
      <c r="J1638"/>
    </row>
    <row r="1639" spans="5:10" x14ac:dyDescent="0.25">
      <c r="E1639"/>
      <c r="J1639"/>
    </row>
    <row r="1640" spans="5:10" x14ac:dyDescent="0.25">
      <c r="E1640"/>
      <c r="J1640"/>
    </row>
    <row r="1641" spans="5:10" x14ac:dyDescent="0.25">
      <c r="E1641"/>
      <c r="J1641"/>
    </row>
    <row r="1642" spans="5:10" x14ac:dyDescent="0.25">
      <c r="E1642"/>
      <c r="J1642"/>
    </row>
    <row r="1643" spans="5:10" x14ac:dyDescent="0.25">
      <c r="E1643"/>
      <c r="J1643"/>
    </row>
    <row r="1644" spans="5:10" x14ac:dyDescent="0.25">
      <c r="E1644"/>
      <c r="J1644"/>
    </row>
    <row r="1645" spans="5:10" x14ac:dyDescent="0.25">
      <c r="E1645"/>
      <c r="J1645"/>
    </row>
    <row r="1646" spans="5:10" x14ac:dyDescent="0.25">
      <c r="E1646"/>
      <c r="J1646"/>
    </row>
    <row r="1647" spans="5:10" x14ac:dyDescent="0.25">
      <c r="E1647"/>
      <c r="J1647"/>
    </row>
    <row r="1648" spans="5:10" x14ac:dyDescent="0.25">
      <c r="E1648"/>
      <c r="J1648"/>
    </row>
    <row r="1649" spans="5:10" x14ac:dyDescent="0.25">
      <c r="E1649"/>
      <c r="J1649"/>
    </row>
    <row r="1650" spans="5:10" x14ac:dyDescent="0.25">
      <c r="E1650"/>
      <c r="J1650"/>
    </row>
    <row r="1651" spans="5:10" x14ac:dyDescent="0.25">
      <c r="E1651"/>
      <c r="J1651"/>
    </row>
    <row r="1652" spans="5:10" x14ac:dyDescent="0.25">
      <c r="E1652"/>
      <c r="J1652"/>
    </row>
    <row r="1653" spans="5:10" x14ac:dyDescent="0.25">
      <c r="E1653"/>
      <c r="J1653"/>
    </row>
    <row r="1654" spans="5:10" x14ac:dyDescent="0.25">
      <c r="E1654"/>
      <c r="J1654"/>
    </row>
    <row r="1655" spans="5:10" x14ac:dyDescent="0.25">
      <c r="E1655"/>
      <c r="J1655"/>
    </row>
    <row r="1656" spans="5:10" x14ac:dyDescent="0.25">
      <c r="E1656"/>
      <c r="J1656"/>
    </row>
    <row r="1657" spans="5:10" x14ac:dyDescent="0.25">
      <c r="E1657"/>
      <c r="J1657"/>
    </row>
    <row r="1658" spans="5:10" x14ac:dyDescent="0.25">
      <c r="E1658"/>
      <c r="J1658"/>
    </row>
    <row r="1659" spans="5:10" x14ac:dyDescent="0.25">
      <c r="E1659"/>
      <c r="J1659"/>
    </row>
    <row r="1660" spans="5:10" x14ac:dyDescent="0.25">
      <c r="E1660"/>
      <c r="J1660"/>
    </row>
    <row r="1661" spans="5:10" x14ac:dyDescent="0.25">
      <c r="E1661"/>
      <c r="J1661"/>
    </row>
    <row r="1662" spans="5:10" x14ac:dyDescent="0.25">
      <c r="E1662"/>
      <c r="J1662"/>
    </row>
    <row r="1663" spans="5:10" x14ac:dyDescent="0.25">
      <c r="E1663"/>
      <c r="J1663"/>
    </row>
    <row r="1664" spans="5:10" x14ac:dyDescent="0.25">
      <c r="E1664"/>
      <c r="J1664"/>
    </row>
    <row r="1665" spans="5:10" x14ac:dyDescent="0.25">
      <c r="E1665"/>
      <c r="J1665"/>
    </row>
    <row r="1666" spans="5:10" x14ac:dyDescent="0.25">
      <c r="E1666"/>
      <c r="J1666"/>
    </row>
    <row r="1667" spans="5:10" x14ac:dyDescent="0.25">
      <c r="E1667"/>
      <c r="J1667"/>
    </row>
    <row r="1668" spans="5:10" x14ac:dyDescent="0.25">
      <c r="E1668"/>
      <c r="J1668"/>
    </row>
    <row r="1669" spans="5:10" x14ac:dyDescent="0.25">
      <c r="E1669"/>
      <c r="J1669"/>
    </row>
    <row r="1670" spans="5:10" x14ac:dyDescent="0.25">
      <c r="E1670"/>
      <c r="J1670"/>
    </row>
    <row r="1671" spans="5:10" x14ac:dyDescent="0.25">
      <c r="E1671"/>
      <c r="J1671"/>
    </row>
    <row r="1672" spans="5:10" x14ac:dyDescent="0.25">
      <c r="E1672"/>
      <c r="J1672"/>
    </row>
    <row r="1673" spans="5:10" x14ac:dyDescent="0.25">
      <c r="E1673"/>
      <c r="J1673"/>
    </row>
    <row r="1674" spans="5:10" x14ac:dyDescent="0.25">
      <c r="E1674"/>
      <c r="J1674"/>
    </row>
    <row r="1675" spans="5:10" x14ac:dyDescent="0.25">
      <c r="E1675"/>
      <c r="J1675"/>
    </row>
    <row r="1676" spans="5:10" x14ac:dyDescent="0.25">
      <c r="E1676"/>
      <c r="J1676"/>
    </row>
    <row r="1677" spans="5:10" x14ac:dyDescent="0.25">
      <c r="E1677"/>
      <c r="J1677"/>
    </row>
    <row r="1678" spans="5:10" x14ac:dyDescent="0.25">
      <c r="E1678"/>
      <c r="J1678"/>
    </row>
    <row r="1679" spans="5:10" x14ac:dyDescent="0.25">
      <c r="E1679"/>
      <c r="J1679"/>
    </row>
    <row r="1680" spans="5:10" x14ac:dyDescent="0.25">
      <c r="E1680"/>
      <c r="J1680"/>
    </row>
    <row r="1681" spans="5:10" x14ac:dyDescent="0.25">
      <c r="E1681"/>
      <c r="J1681"/>
    </row>
    <row r="1682" spans="5:10" x14ac:dyDescent="0.25">
      <c r="E1682"/>
      <c r="J1682"/>
    </row>
    <row r="1683" spans="5:10" x14ac:dyDescent="0.25">
      <c r="E1683"/>
      <c r="J1683"/>
    </row>
    <row r="1684" spans="5:10" x14ac:dyDescent="0.25">
      <c r="E1684"/>
      <c r="J1684"/>
    </row>
    <row r="1685" spans="5:10" x14ac:dyDescent="0.25">
      <c r="E1685"/>
      <c r="J1685"/>
    </row>
    <row r="1686" spans="5:10" x14ac:dyDescent="0.25">
      <c r="E1686"/>
      <c r="J1686"/>
    </row>
    <row r="1687" spans="5:10" x14ac:dyDescent="0.25">
      <c r="E1687"/>
      <c r="J1687"/>
    </row>
    <row r="1688" spans="5:10" x14ac:dyDescent="0.25">
      <c r="E1688"/>
      <c r="J1688"/>
    </row>
    <row r="1689" spans="5:10" x14ac:dyDescent="0.25">
      <c r="E1689"/>
      <c r="J1689"/>
    </row>
    <row r="1690" spans="5:10" x14ac:dyDescent="0.25">
      <c r="E1690"/>
      <c r="J1690"/>
    </row>
    <row r="1691" spans="5:10" x14ac:dyDescent="0.25">
      <c r="E1691"/>
      <c r="J1691"/>
    </row>
    <row r="1692" spans="5:10" x14ac:dyDescent="0.25">
      <c r="E1692"/>
      <c r="J1692"/>
    </row>
    <row r="1693" spans="5:10" x14ac:dyDescent="0.25">
      <c r="E1693"/>
      <c r="J1693"/>
    </row>
    <row r="1694" spans="5:10" x14ac:dyDescent="0.25">
      <c r="E1694"/>
      <c r="J1694"/>
    </row>
    <row r="1695" spans="5:10" x14ac:dyDescent="0.25">
      <c r="E1695"/>
      <c r="J1695"/>
    </row>
    <row r="1696" spans="5:10" x14ac:dyDescent="0.25">
      <c r="E1696"/>
      <c r="J1696"/>
    </row>
    <row r="1697" spans="5:10" x14ac:dyDescent="0.25">
      <c r="E1697"/>
      <c r="J1697"/>
    </row>
    <row r="1698" spans="5:10" x14ac:dyDescent="0.25">
      <c r="E1698"/>
      <c r="J1698"/>
    </row>
    <row r="1699" spans="5:10" x14ac:dyDescent="0.25">
      <c r="E1699"/>
      <c r="J1699"/>
    </row>
    <row r="1700" spans="5:10" x14ac:dyDescent="0.25">
      <c r="E1700"/>
      <c r="J1700"/>
    </row>
    <row r="1701" spans="5:10" x14ac:dyDescent="0.25">
      <c r="E1701"/>
      <c r="J1701"/>
    </row>
    <row r="1702" spans="5:10" x14ac:dyDescent="0.25">
      <c r="E1702"/>
      <c r="J1702"/>
    </row>
    <row r="1703" spans="5:10" x14ac:dyDescent="0.25">
      <c r="E1703"/>
      <c r="J1703"/>
    </row>
    <row r="1704" spans="5:10" x14ac:dyDescent="0.25">
      <c r="E1704"/>
      <c r="J1704"/>
    </row>
    <row r="1705" spans="5:10" x14ac:dyDescent="0.25">
      <c r="E1705"/>
      <c r="J1705"/>
    </row>
    <row r="1706" spans="5:10" x14ac:dyDescent="0.25">
      <c r="E1706"/>
      <c r="J1706"/>
    </row>
    <row r="1707" spans="5:10" x14ac:dyDescent="0.25">
      <c r="E1707"/>
      <c r="J1707"/>
    </row>
    <row r="1708" spans="5:10" x14ac:dyDescent="0.25">
      <c r="E1708"/>
      <c r="J1708"/>
    </row>
    <row r="1709" spans="5:10" x14ac:dyDescent="0.25">
      <c r="E1709"/>
      <c r="J1709"/>
    </row>
    <row r="1710" spans="5:10" x14ac:dyDescent="0.25">
      <c r="E1710"/>
      <c r="J1710"/>
    </row>
    <row r="1711" spans="5:10" x14ac:dyDescent="0.25">
      <c r="E1711"/>
      <c r="J1711"/>
    </row>
    <row r="1712" spans="5:10" x14ac:dyDescent="0.25">
      <c r="E1712"/>
      <c r="J1712"/>
    </row>
    <row r="1713" spans="5:10" x14ac:dyDescent="0.25">
      <c r="E1713"/>
      <c r="J1713"/>
    </row>
    <row r="1714" spans="5:10" x14ac:dyDescent="0.25">
      <c r="E1714"/>
      <c r="J1714"/>
    </row>
    <row r="1715" spans="5:10" x14ac:dyDescent="0.25">
      <c r="E1715"/>
      <c r="J1715"/>
    </row>
    <row r="1716" spans="5:10" x14ac:dyDescent="0.25">
      <c r="E1716"/>
      <c r="J1716"/>
    </row>
    <row r="1717" spans="5:10" x14ac:dyDescent="0.25">
      <c r="E1717"/>
      <c r="J1717"/>
    </row>
    <row r="1718" spans="5:10" x14ac:dyDescent="0.25">
      <c r="E1718"/>
      <c r="J1718"/>
    </row>
    <row r="1719" spans="5:10" x14ac:dyDescent="0.25">
      <c r="E1719"/>
      <c r="J1719"/>
    </row>
    <row r="1720" spans="5:10" x14ac:dyDescent="0.25">
      <c r="E1720"/>
      <c r="J1720"/>
    </row>
    <row r="1721" spans="5:10" x14ac:dyDescent="0.25">
      <c r="E1721"/>
      <c r="J1721"/>
    </row>
    <row r="1722" spans="5:10" x14ac:dyDescent="0.25">
      <c r="E1722"/>
      <c r="J1722"/>
    </row>
    <row r="1723" spans="5:10" x14ac:dyDescent="0.25">
      <c r="E1723"/>
      <c r="J1723"/>
    </row>
    <row r="1724" spans="5:10" x14ac:dyDescent="0.25">
      <c r="E1724"/>
      <c r="J1724"/>
    </row>
    <row r="1725" spans="5:10" x14ac:dyDescent="0.25">
      <c r="E1725"/>
      <c r="J1725"/>
    </row>
    <row r="1726" spans="5:10" x14ac:dyDescent="0.25">
      <c r="E1726"/>
      <c r="J1726"/>
    </row>
    <row r="1727" spans="5:10" x14ac:dyDescent="0.25">
      <c r="E1727"/>
      <c r="J1727"/>
    </row>
    <row r="1728" spans="5:10" x14ac:dyDescent="0.25">
      <c r="E1728"/>
      <c r="J1728"/>
    </row>
    <row r="1729" spans="5:10" x14ac:dyDescent="0.25">
      <c r="E1729"/>
      <c r="J1729"/>
    </row>
    <row r="1730" spans="5:10" x14ac:dyDescent="0.25">
      <c r="E1730"/>
      <c r="J1730"/>
    </row>
    <row r="1731" spans="5:10" x14ac:dyDescent="0.25">
      <c r="E1731"/>
      <c r="J1731"/>
    </row>
    <row r="1732" spans="5:10" x14ac:dyDescent="0.25">
      <c r="E1732"/>
      <c r="J1732"/>
    </row>
    <row r="1733" spans="5:10" x14ac:dyDescent="0.25">
      <c r="E1733"/>
      <c r="J1733"/>
    </row>
    <row r="1734" spans="5:10" x14ac:dyDescent="0.25">
      <c r="E1734"/>
      <c r="J1734"/>
    </row>
    <row r="1735" spans="5:10" x14ac:dyDescent="0.25">
      <c r="E1735"/>
      <c r="J1735"/>
    </row>
    <row r="1736" spans="5:10" x14ac:dyDescent="0.25">
      <c r="E1736"/>
      <c r="J1736"/>
    </row>
    <row r="1737" spans="5:10" x14ac:dyDescent="0.25">
      <c r="E1737"/>
      <c r="J1737"/>
    </row>
    <row r="1738" spans="5:10" x14ac:dyDescent="0.25">
      <c r="E1738"/>
      <c r="J1738"/>
    </row>
    <row r="1739" spans="5:10" x14ac:dyDescent="0.25">
      <c r="E1739"/>
      <c r="J1739"/>
    </row>
    <row r="1740" spans="5:10" x14ac:dyDescent="0.25">
      <c r="E1740"/>
      <c r="J1740"/>
    </row>
    <row r="1741" spans="5:10" x14ac:dyDescent="0.25">
      <c r="E1741"/>
      <c r="J1741"/>
    </row>
    <row r="1742" spans="5:10" x14ac:dyDescent="0.25">
      <c r="E1742"/>
      <c r="J1742"/>
    </row>
    <row r="1743" spans="5:10" x14ac:dyDescent="0.25">
      <c r="E1743"/>
      <c r="J1743"/>
    </row>
    <row r="1744" spans="5:10" x14ac:dyDescent="0.25">
      <c r="E1744"/>
      <c r="J1744"/>
    </row>
    <row r="1745" spans="5:10" x14ac:dyDescent="0.25">
      <c r="E1745"/>
      <c r="J1745"/>
    </row>
    <row r="1746" spans="5:10" x14ac:dyDescent="0.25">
      <c r="E1746"/>
      <c r="J1746"/>
    </row>
    <row r="1747" spans="5:10" x14ac:dyDescent="0.25">
      <c r="E1747"/>
      <c r="J1747"/>
    </row>
    <row r="1748" spans="5:10" x14ac:dyDescent="0.25">
      <c r="E1748"/>
      <c r="J1748"/>
    </row>
    <row r="1749" spans="5:10" x14ac:dyDescent="0.25">
      <c r="E1749"/>
      <c r="J1749"/>
    </row>
    <row r="1750" spans="5:10" x14ac:dyDescent="0.25">
      <c r="E1750"/>
      <c r="J1750"/>
    </row>
    <row r="1751" spans="5:10" x14ac:dyDescent="0.25">
      <c r="E1751"/>
      <c r="J1751"/>
    </row>
    <row r="1752" spans="5:10" x14ac:dyDescent="0.25">
      <c r="E1752"/>
      <c r="J1752"/>
    </row>
    <row r="1753" spans="5:10" x14ac:dyDescent="0.25">
      <c r="E1753"/>
      <c r="J1753"/>
    </row>
    <row r="1754" spans="5:10" x14ac:dyDescent="0.25">
      <c r="E1754"/>
      <c r="J1754"/>
    </row>
    <row r="1755" spans="5:10" x14ac:dyDescent="0.25">
      <c r="E1755"/>
      <c r="J1755"/>
    </row>
    <row r="1756" spans="5:10" x14ac:dyDescent="0.25">
      <c r="E1756"/>
      <c r="J1756"/>
    </row>
    <row r="1757" spans="5:10" x14ac:dyDescent="0.25">
      <c r="E1757"/>
      <c r="J1757"/>
    </row>
    <row r="1758" spans="5:10" x14ac:dyDescent="0.25">
      <c r="E1758"/>
      <c r="J1758"/>
    </row>
    <row r="1759" spans="5:10" x14ac:dyDescent="0.25">
      <c r="E1759"/>
      <c r="J1759"/>
    </row>
    <row r="1760" spans="5:10" x14ac:dyDescent="0.25">
      <c r="E1760"/>
      <c r="J1760"/>
    </row>
    <row r="1761" spans="5:10" x14ac:dyDescent="0.25">
      <c r="E1761"/>
      <c r="J1761"/>
    </row>
    <row r="1762" spans="5:10" x14ac:dyDescent="0.25">
      <c r="E1762"/>
      <c r="J1762"/>
    </row>
    <row r="1763" spans="5:10" x14ac:dyDescent="0.25">
      <c r="E1763"/>
      <c r="J1763"/>
    </row>
    <row r="1764" spans="5:10" x14ac:dyDescent="0.25">
      <c r="E1764"/>
      <c r="J1764"/>
    </row>
    <row r="1765" spans="5:10" x14ac:dyDescent="0.25">
      <c r="E1765"/>
      <c r="J1765"/>
    </row>
    <row r="1766" spans="5:10" x14ac:dyDescent="0.25">
      <c r="E1766"/>
      <c r="J1766"/>
    </row>
    <row r="1767" spans="5:10" x14ac:dyDescent="0.25">
      <c r="E1767"/>
      <c r="J1767"/>
    </row>
    <row r="1768" spans="5:10" x14ac:dyDescent="0.25">
      <c r="E1768"/>
      <c r="J1768"/>
    </row>
    <row r="1769" spans="5:10" x14ac:dyDescent="0.25">
      <c r="E1769"/>
      <c r="J1769"/>
    </row>
    <row r="1770" spans="5:10" x14ac:dyDescent="0.25">
      <c r="E1770"/>
      <c r="J1770"/>
    </row>
    <row r="1771" spans="5:10" x14ac:dyDescent="0.25">
      <c r="E1771"/>
      <c r="J1771"/>
    </row>
    <row r="1772" spans="5:10" x14ac:dyDescent="0.25">
      <c r="E1772"/>
      <c r="J1772"/>
    </row>
    <row r="1773" spans="5:10" x14ac:dyDescent="0.25">
      <c r="E1773"/>
      <c r="J1773"/>
    </row>
    <row r="1774" spans="5:10" x14ac:dyDescent="0.25">
      <c r="E1774"/>
      <c r="J1774"/>
    </row>
    <row r="1775" spans="5:10" x14ac:dyDescent="0.25">
      <c r="E1775"/>
      <c r="J1775"/>
    </row>
    <row r="1776" spans="5:10" x14ac:dyDescent="0.25">
      <c r="E1776"/>
      <c r="J1776"/>
    </row>
    <row r="1777" spans="5:10" x14ac:dyDescent="0.25">
      <c r="E1777"/>
      <c r="J1777"/>
    </row>
    <row r="1778" spans="5:10" x14ac:dyDescent="0.25">
      <c r="E1778"/>
      <c r="J1778"/>
    </row>
    <row r="1779" spans="5:10" x14ac:dyDescent="0.25">
      <c r="E1779"/>
      <c r="J1779"/>
    </row>
    <row r="1780" spans="5:10" x14ac:dyDescent="0.25">
      <c r="E1780"/>
      <c r="J1780"/>
    </row>
    <row r="1781" spans="5:10" x14ac:dyDescent="0.25">
      <c r="E1781"/>
      <c r="J1781"/>
    </row>
    <row r="1782" spans="5:10" x14ac:dyDescent="0.25">
      <c r="E1782"/>
      <c r="J1782"/>
    </row>
    <row r="1783" spans="5:10" x14ac:dyDescent="0.25">
      <c r="E1783"/>
      <c r="J1783"/>
    </row>
    <row r="1784" spans="5:10" x14ac:dyDescent="0.25">
      <c r="E1784"/>
      <c r="J1784"/>
    </row>
    <row r="1785" spans="5:10" x14ac:dyDescent="0.25">
      <c r="E1785"/>
      <c r="J1785"/>
    </row>
    <row r="1786" spans="5:10" x14ac:dyDescent="0.25">
      <c r="E1786"/>
      <c r="J1786"/>
    </row>
    <row r="1787" spans="5:10" x14ac:dyDescent="0.25">
      <c r="E1787"/>
      <c r="J1787"/>
    </row>
    <row r="1788" spans="5:10" x14ac:dyDescent="0.25">
      <c r="E1788"/>
      <c r="J1788"/>
    </row>
    <row r="1789" spans="5:10" x14ac:dyDescent="0.25">
      <c r="E1789"/>
      <c r="J1789"/>
    </row>
    <row r="1790" spans="5:10" x14ac:dyDescent="0.25">
      <c r="E1790"/>
      <c r="J1790"/>
    </row>
    <row r="1791" spans="5:10" x14ac:dyDescent="0.25">
      <c r="E1791"/>
      <c r="J1791"/>
    </row>
    <row r="1792" spans="5:10" x14ac:dyDescent="0.25">
      <c r="E1792"/>
      <c r="J1792"/>
    </row>
    <row r="1793" spans="5:10" x14ac:dyDescent="0.25">
      <c r="E1793"/>
      <c r="J1793"/>
    </row>
    <row r="1794" spans="5:10" x14ac:dyDescent="0.25">
      <c r="E1794"/>
      <c r="J1794"/>
    </row>
    <row r="1795" spans="5:10" x14ac:dyDescent="0.25">
      <c r="E1795"/>
      <c r="J1795"/>
    </row>
    <row r="1796" spans="5:10" x14ac:dyDescent="0.25">
      <c r="E1796"/>
      <c r="J1796"/>
    </row>
    <row r="1797" spans="5:10" x14ac:dyDescent="0.25">
      <c r="E1797"/>
      <c r="J1797"/>
    </row>
    <row r="1798" spans="5:10" x14ac:dyDescent="0.25">
      <c r="E1798"/>
      <c r="J1798"/>
    </row>
    <row r="1799" spans="5:10" x14ac:dyDescent="0.25">
      <c r="E1799"/>
      <c r="J1799"/>
    </row>
    <row r="1800" spans="5:10" x14ac:dyDescent="0.25">
      <c r="E1800"/>
      <c r="J1800"/>
    </row>
    <row r="1801" spans="5:10" x14ac:dyDescent="0.25">
      <c r="E1801"/>
      <c r="J1801"/>
    </row>
    <row r="1802" spans="5:10" x14ac:dyDescent="0.25">
      <c r="E1802"/>
      <c r="J1802"/>
    </row>
    <row r="1803" spans="5:10" x14ac:dyDescent="0.25">
      <c r="E1803"/>
      <c r="J1803"/>
    </row>
    <row r="1804" spans="5:10" x14ac:dyDescent="0.25">
      <c r="E1804"/>
      <c r="J1804"/>
    </row>
    <row r="1805" spans="5:10" x14ac:dyDescent="0.25">
      <c r="E1805"/>
      <c r="J1805"/>
    </row>
    <row r="1806" spans="5:10" x14ac:dyDescent="0.25">
      <c r="E1806"/>
      <c r="J1806"/>
    </row>
    <row r="1807" spans="5:10" x14ac:dyDescent="0.25">
      <c r="E1807"/>
      <c r="J1807"/>
    </row>
    <row r="1808" spans="5:10" x14ac:dyDescent="0.25">
      <c r="E1808"/>
      <c r="J1808"/>
    </row>
    <row r="1809" spans="5:10" x14ac:dyDescent="0.25">
      <c r="E1809"/>
      <c r="J1809"/>
    </row>
    <row r="1810" spans="5:10" x14ac:dyDescent="0.25">
      <c r="E1810"/>
      <c r="J1810"/>
    </row>
    <row r="1811" spans="5:10" x14ac:dyDescent="0.25">
      <c r="E1811"/>
      <c r="J1811"/>
    </row>
    <row r="1812" spans="5:10" x14ac:dyDescent="0.25">
      <c r="E1812"/>
      <c r="J1812"/>
    </row>
    <row r="1813" spans="5:10" x14ac:dyDescent="0.25">
      <c r="E1813"/>
      <c r="J1813"/>
    </row>
    <row r="1814" spans="5:10" x14ac:dyDescent="0.25">
      <c r="E1814"/>
      <c r="J1814"/>
    </row>
    <row r="1815" spans="5:10" x14ac:dyDescent="0.25">
      <c r="E1815"/>
      <c r="J1815"/>
    </row>
    <row r="1816" spans="5:10" x14ac:dyDescent="0.25">
      <c r="E1816"/>
      <c r="J1816"/>
    </row>
    <row r="1817" spans="5:10" x14ac:dyDescent="0.25">
      <c r="E1817"/>
      <c r="J1817"/>
    </row>
    <row r="1818" spans="5:10" x14ac:dyDescent="0.25">
      <c r="E1818"/>
      <c r="J1818"/>
    </row>
    <row r="1819" spans="5:10" x14ac:dyDescent="0.25">
      <c r="E1819"/>
      <c r="J1819"/>
    </row>
    <row r="1820" spans="5:10" x14ac:dyDescent="0.25">
      <c r="E1820"/>
      <c r="J1820"/>
    </row>
    <row r="1821" spans="5:10" x14ac:dyDescent="0.25">
      <c r="E1821"/>
      <c r="J1821"/>
    </row>
    <row r="1822" spans="5:10" x14ac:dyDescent="0.25">
      <c r="E1822"/>
      <c r="J1822"/>
    </row>
    <row r="1823" spans="5:10" x14ac:dyDescent="0.25">
      <c r="E1823"/>
      <c r="J1823"/>
    </row>
    <row r="1824" spans="5:10" x14ac:dyDescent="0.25">
      <c r="E1824"/>
      <c r="J1824"/>
    </row>
    <row r="1825" spans="5:10" x14ac:dyDescent="0.25">
      <c r="E1825"/>
      <c r="J1825"/>
    </row>
    <row r="1826" spans="5:10" x14ac:dyDescent="0.25">
      <c r="E1826"/>
      <c r="J1826"/>
    </row>
    <row r="1827" spans="5:10" x14ac:dyDescent="0.25">
      <c r="E1827"/>
      <c r="J1827"/>
    </row>
    <row r="1828" spans="5:10" x14ac:dyDescent="0.25">
      <c r="E1828"/>
      <c r="J1828"/>
    </row>
    <row r="1829" spans="5:10" x14ac:dyDescent="0.25">
      <c r="E1829"/>
      <c r="J1829"/>
    </row>
    <row r="1830" spans="5:10" x14ac:dyDescent="0.25">
      <c r="E1830"/>
      <c r="J1830"/>
    </row>
    <row r="1831" spans="5:10" x14ac:dyDescent="0.25">
      <c r="E1831"/>
      <c r="J1831"/>
    </row>
    <row r="1832" spans="5:10" x14ac:dyDescent="0.25">
      <c r="E1832"/>
      <c r="J1832"/>
    </row>
    <row r="1833" spans="5:10" x14ac:dyDescent="0.25">
      <c r="E1833"/>
      <c r="J1833"/>
    </row>
    <row r="1834" spans="5:10" x14ac:dyDescent="0.25">
      <c r="E1834"/>
      <c r="J1834"/>
    </row>
    <row r="1835" spans="5:10" x14ac:dyDescent="0.25">
      <c r="E1835"/>
      <c r="J1835"/>
    </row>
    <row r="1836" spans="5:10" x14ac:dyDescent="0.25">
      <c r="E1836"/>
      <c r="J1836"/>
    </row>
    <row r="1837" spans="5:10" x14ac:dyDescent="0.25">
      <c r="E1837"/>
      <c r="J1837"/>
    </row>
    <row r="1838" spans="5:10" x14ac:dyDescent="0.25">
      <c r="E1838"/>
      <c r="J1838"/>
    </row>
    <row r="1839" spans="5:10" x14ac:dyDescent="0.25">
      <c r="E1839"/>
      <c r="J1839"/>
    </row>
    <row r="1840" spans="5:10" x14ac:dyDescent="0.25">
      <c r="E1840"/>
      <c r="J1840"/>
    </row>
    <row r="1841" spans="5:10" x14ac:dyDescent="0.25">
      <c r="E1841"/>
      <c r="J1841"/>
    </row>
    <row r="1842" spans="5:10" x14ac:dyDescent="0.25">
      <c r="E1842"/>
      <c r="J1842"/>
    </row>
    <row r="1843" spans="5:10" x14ac:dyDescent="0.25">
      <c r="E1843"/>
      <c r="J1843"/>
    </row>
    <row r="1844" spans="5:10" x14ac:dyDescent="0.25">
      <c r="E1844"/>
      <c r="J1844"/>
    </row>
    <row r="1845" spans="5:10" x14ac:dyDescent="0.25">
      <c r="E1845"/>
      <c r="J1845"/>
    </row>
    <row r="1846" spans="5:10" x14ac:dyDescent="0.25">
      <c r="E1846"/>
      <c r="J1846"/>
    </row>
    <row r="1847" spans="5:10" x14ac:dyDescent="0.25">
      <c r="E1847"/>
      <c r="J1847"/>
    </row>
    <row r="1848" spans="5:10" x14ac:dyDescent="0.25">
      <c r="E1848"/>
      <c r="J1848"/>
    </row>
    <row r="1849" spans="5:10" x14ac:dyDescent="0.25">
      <c r="E1849"/>
      <c r="J1849"/>
    </row>
    <row r="1850" spans="5:10" x14ac:dyDescent="0.25">
      <c r="E1850"/>
      <c r="J1850"/>
    </row>
    <row r="1851" spans="5:10" x14ac:dyDescent="0.25">
      <c r="E1851"/>
      <c r="J1851"/>
    </row>
    <row r="1852" spans="5:10" x14ac:dyDescent="0.25">
      <c r="E1852"/>
      <c r="J1852"/>
    </row>
    <row r="1853" spans="5:10" x14ac:dyDescent="0.25">
      <c r="E1853"/>
      <c r="J1853"/>
    </row>
    <row r="1854" spans="5:10" x14ac:dyDescent="0.25">
      <c r="E1854"/>
      <c r="J1854"/>
    </row>
    <row r="1855" spans="5:10" x14ac:dyDescent="0.25">
      <c r="E1855"/>
      <c r="J1855"/>
    </row>
    <row r="1856" spans="5:10" x14ac:dyDescent="0.25">
      <c r="E1856"/>
      <c r="J1856"/>
    </row>
    <row r="1857" spans="5:10" x14ac:dyDescent="0.25">
      <c r="E1857"/>
      <c r="J1857"/>
    </row>
    <row r="1858" spans="5:10" x14ac:dyDescent="0.25">
      <c r="E1858"/>
      <c r="J1858"/>
    </row>
    <row r="1859" spans="5:10" x14ac:dyDescent="0.25">
      <c r="E1859"/>
      <c r="J1859"/>
    </row>
    <row r="1860" spans="5:10" x14ac:dyDescent="0.25">
      <c r="E1860"/>
      <c r="J1860"/>
    </row>
    <row r="1861" spans="5:10" x14ac:dyDescent="0.25">
      <c r="E1861"/>
      <c r="J1861"/>
    </row>
    <row r="1862" spans="5:10" x14ac:dyDescent="0.25">
      <c r="E1862"/>
      <c r="J1862"/>
    </row>
    <row r="1863" spans="5:10" x14ac:dyDescent="0.25">
      <c r="E1863"/>
      <c r="J1863"/>
    </row>
    <row r="1864" spans="5:10" x14ac:dyDescent="0.25">
      <c r="E1864"/>
      <c r="J1864"/>
    </row>
    <row r="1865" spans="5:10" x14ac:dyDescent="0.25">
      <c r="E1865"/>
      <c r="J1865"/>
    </row>
    <row r="1866" spans="5:10" x14ac:dyDescent="0.25">
      <c r="E1866"/>
      <c r="J1866"/>
    </row>
    <row r="1867" spans="5:10" x14ac:dyDescent="0.25">
      <c r="E1867"/>
      <c r="J1867"/>
    </row>
    <row r="1868" spans="5:10" x14ac:dyDescent="0.25">
      <c r="E1868"/>
      <c r="J1868"/>
    </row>
    <row r="1869" spans="5:10" x14ac:dyDescent="0.25">
      <c r="E1869"/>
      <c r="J1869"/>
    </row>
    <row r="1870" spans="5:10" x14ac:dyDescent="0.25">
      <c r="E1870"/>
      <c r="J1870"/>
    </row>
    <row r="1871" spans="5:10" x14ac:dyDescent="0.25">
      <c r="E1871"/>
      <c r="J1871"/>
    </row>
    <row r="1872" spans="5:10" x14ac:dyDescent="0.25">
      <c r="E1872"/>
      <c r="J1872"/>
    </row>
    <row r="1873" spans="5:10" x14ac:dyDescent="0.25">
      <c r="E1873"/>
      <c r="J1873"/>
    </row>
    <row r="1874" spans="5:10" x14ac:dyDescent="0.25">
      <c r="E1874"/>
      <c r="J1874"/>
    </row>
    <row r="1875" spans="5:10" x14ac:dyDescent="0.25">
      <c r="E1875"/>
      <c r="J1875"/>
    </row>
    <row r="1876" spans="5:10" x14ac:dyDescent="0.25">
      <c r="E1876"/>
      <c r="J1876"/>
    </row>
    <row r="1877" spans="5:10" x14ac:dyDescent="0.25">
      <c r="E1877"/>
      <c r="J1877"/>
    </row>
    <row r="1878" spans="5:10" x14ac:dyDescent="0.25">
      <c r="E1878"/>
      <c r="J1878"/>
    </row>
    <row r="1879" spans="5:10" x14ac:dyDescent="0.25">
      <c r="E1879"/>
      <c r="J1879"/>
    </row>
    <row r="1880" spans="5:10" x14ac:dyDescent="0.25">
      <c r="E1880"/>
      <c r="J1880"/>
    </row>
    <row r="1881" spans="5:10" x14ac:dyDescent="0.25">
      <c r="E1881"/>
      <c r="J1881"/>
    </row>
    <row r="1882" spans="5:10" x14ac:dyDescent="0.25">
      <c r="E1882"/>
      <c r="J1882"/>
    </row>
    <row r="1883" spans="5:10" x14ac:dyDescent="0.25">
      <c r="E1883"/>
      <c r="J1883"/>
    </row>
    <row r="1884" spans="5:10" x14ac:dyDescent="0.25">
      <c r="E1884"/>
      <c r="J1884"/>
    </row>
    <row r="1885" spans="5:10" x14ac:dyDescent="0.25">
      <c r="E1885"/>
      <c r="J1885"/>
    </row>
    <row r="1886" spans="5:10" x14ac:dyDescent="0.25">
      <c r="E1886"/>
      <c r="J1886"/>
    </row>
    <row r="1887" spans="5:10" x14ac:dyDescent="0.25">
      <c r="E1887"/>
      <c r="J1887"/>
    </row>
    <row r="1888" spans="5:10" x14ac:dyDescent="0.25">
      <c r="E1888"/>
      <c r="J1888"/>
    </row>
    <row r="1889" spans="5:10" x14ac:dyDescent="0.25">
      <c r="E1889"/>
      <c r="J1889"/>
    </row>
    <row r="1890" spans="5:10" x14ac:dyDescent="0.25">
      <c r="E1890"/>
      <c r="J1890"/>
    </row>
    <row r="1891" spans="5:10" x14ac:dyDescent="0.25">
      <c r="E1891"/>
      <c r="J1891"/>
    </row>
    <row r="1892" spans="5:10" x14ac:dyDescent="0.25">
      <c r="E1892"/>
      <c r="J1892"/>
    </row>
    <row r="1893" spans="5:10" x14ac:dyDescent="0.25">
      <c r="E1893"/>
      <c r="J1893"/>
    </row>
    <row r="1894" spans="5:10" x14ac:dyDescent="0.25">
      <c r="E1894"/>
      <c r="J1894"/>
    </row>
    <row r="1895" spans="5:10" x14ac:dyDescent="0.25">
      <c r="E1895"/>
      <c r="J1895"/>
    </row>
    <row r="1896" spans="5:10" x14ac:dyDescent="0.25">
      <c r="E1896"/>
      <c r="J1896"/>
    </row>
    <row r="1897" spans="5:10" x14ac:dyDescent="0.25">
      <c r="E1897"/>
      <c r="J1897"/>
    </row>
    <row r="1898" spans="5:10" x14ac:dyDescent="0.25">
      <c r="E1898"/>
      <c r="J1898"/>
    </row>
    <row r="1899" spans="5:10" x14ac:dyDescent="0.25">
      <c r="E1899"/>
      <c r="J1899"/>
    </row>
    <row r="1900" spans="5:10" x14ac:dyDescent="0.25">
      <c r="E1900"/>
      <c r="J1900"/>
    </row>
    <row r="1901" spans="5:10" x14ac:dyDescent="0.25">
      <c r="E1901"/>
      <c r="J1901"/>
    </row>
    <row r="1902" spans="5:10" x14ac:dyDescent="0.25">
      <c r="E1902"/>
      <c r="J1902"/>
    </row>
    <row r="1903" spans="5:10" x14ac:dyDescent="0.25">
      <c r="E1903"/>
      <c r="J1903"/>
    </row>
    <row r="1904" spans="5:10" x14ac:dyDescent="0.25">
      <c r="E1904"/>
      <c r="J1904"/>
    </row>
    <row r="1905" spans="5:10" x14ac:dyDescent="0.25">
      <c r="E1905"/>
      <c r="J1905"/>
    </row>
    <row r="1906" spans="5:10" x14ac:dyDescent="0.25">
      <c r="E1906"/>
      <c r="J1906"/>
    </row>
    <row r="1907" spans="5:10" x14ac:dyDescent="0.25">
      <c r="E1907"/>
      <c r="J1907"/>
    </row>
    <row r="1908" spans="5:10" x14ac:dyDescent="0.25">
      <c r="E1908"/>
      <c r="J1908"/>
    </row>
    <row r="1909" spans="5:10" x14ac:dyDescent="0.25">
      <c r="E1909"/>
      <c r="J1909"/>
    </row>
    <row r="1910" spans="5:10" x14ac:dyDescent="0.25">
      <c r="E1910"/>
      <c r="J1910"/>
    </row>
    <row r="1911" spans="5:10" x14ac:dyDescent="0.25">
      <c r="E1911"/>
      <c r="J1911"/>
    </row>
    <row r="1912" spans="5:10" x14ac:dyDescent="0.25">
      <c r="E1912"/>
      <c r="J1912"/>
    </row>
    <row r="1913" spans="5:10" x14ac:dyDescent="0.25">
      <c r="E1913"/>
      <c r="J1913"/>
    </row>
    <row r="1914" spans="5:10" x14ac:dyDescent="0.25">
      <c r="E1914"/>
      <c r="J1914"/>
    </row>
    <row r="1915" spans="5:10" x14ac:dyDescent="0.25">
      <c r="E1915"/>
      <c r="J1915"/>
    </row>
    <row r="1916" spans="5:10" x14ac:dyDescent="0.25">
      <c r="E1916"/>
      <c r="J1916"/>
    </row>
    <row r="1917" spans="5:10" x14ac:dyDescent="0.25">
      <c r="E1917"/>
      <c r="J1917"/>
    </row>
    <row r="1918" spans="5:10" x14ac:dyDescent="0.25">
      <c r="E1918"/>
      <c r="J1918"/>
    </row>
    <row r="1919" spans="5:10" x14ac:dyDescent="0.25">
      <c r="E1919"/>
      <c r="J1919"/>
    </row>
    <row r="1920" spans="5:10" x14ac:dyDescent="0.25">
      <c r="E1920"/>
      <c r="J1920"/>
    </row>
    <row r="1921" spans="5:10" x14ac:dyDescent="0.25">
      <c r="E1921"/>
      <c r="J1921"/>
    </row>
    <row r="1922" spans="5:10" x14ac:dyDescent="0.25">
      <c r="E1922"/>
      <c r="J1922"/>
    </row>
    <row r="1923" spans="5:10" x14ac:dyDescent="0.25">
      <c r="E1923"/>
      <c r="J1923"/>
    </row>
    <row r="1924" spans="5:10" x14ac:dyDescent="0.25">
      <c r="E1924"/>
      <c r="J1924"/>
    </row>
    <row r="1925" spans="5:10" x14ac:dyDescent="0.25">
      <c r="E1925"/>
      <c r="J1925"/>
    </row>
    <row r="1926" spans="5:10" x14ac:dyDescent="0.25">
      <c r="E1926"/>
      <c r="J1926"/>
    </row>
    <row r="1927" spans="5:10" x14ac:dyDescent="0.25">
      <c r="E1927"/>
      <c r="J1927"/>
    </row>
    <row r="1928" spans="5:10" x14ac:dyDescent="0.25">
      <c r="E1928"/>
      <c r="J1928"/>
    </row>
    <row r="1929" spans="5:10" x14ac:dyDescent="0.25">
      <c r="E1929"/>
      <c r="J1929"/>
    </row>
    <row r="1930" spans="5:10" x14ac:dyDescent="0.25">
      <c r="E1930"/>
      <c r="J1930"/>
    </row>
    <row r="1931" spans="5:10" x14ac:dyDescent="0.25">
      <c r="E1931"/>
      <c r="J1931"/>
    </row>
    <row r="1932" spans="5:10" x14ac:dyDescent="0.25">
      <c r="E1932"/>
      <c r="J1932"/>
    </row>
    <row r="1933" spans="5:10" x14ac:dyDescent="0.25">
      <c r="E1933"/>
      <c r="J1933"/>
    </row>
    <row r="1934" spans="5:10" x14ac:dyDescent="0.25">
      <c r="E1934"/>
      <c r="J1934"/>
    </row>
    <row r="1935" spans="5:10" x14ac:dyDescent="0.25">
      <c r="E1935"/>
      <c r="J1935"/>
    </row>
    <row r="1936" spans="5:10" x14ac:dyDescent="0.25">
      <c r="E1936"/>
      <c r="J1936"/>
    </row>
    <row r="1937" spans="5:10" x14ac:dyDescent="0.25">
      <c r="E1937"/>
      <c r="J1937"/>
    </row>
    <row r="1938" spans="5:10" x14ac:dyDescent="0.25">
      <c r="E1938"/>
      <c r="J1938"/>
    </row>
    <row r="1939" spans="5:10" x14ac:dyDescent="0.25">
      <c r="E1939"/>
      <c r="J1939"/>
    </row>
    <row r="1940" spans="5:10" x14ac:dyDescent="0.25">
      <c r="E1940"/>
      <c r="J1940"/>
    </row>
    <row r="1941" spans="5:10" x14ac:dyDescent="0.25">
      <c r="E1941"/>
      <c r="J1941"/>
    </row>
    <row r="1942" spans="5:10" x14ac:dyDescent="0.25">
      <c r="E1942"/>
      <c r="J1942"/>
    </row>
    <row r="1943" spans="5:10" x14ac:dyDescent="0.25">
      <c r="E1943"/>
      <c r="J1943"/>
    </row>
    <row r="1944" spans="5:10" x14ac:dyDescent="0.25">
      <c r="E1944"/>
      <c r="J1944"/>
    </row>
    <row r="1945" spans="5:10" x14ac:dyDescent="0.25">
      <c r="E1945"/>
      <c r="J1945"/>
    </row>
    <row r="1946" spans="5:10" x14ac:dyDescent="0.25">
      <c r="E1946"/>
      <c r="J1946"/>
    </row>
    <row r="1947" spans="5:10" x14ac:dyDescent="0.25">
      <c r="E1947"/>
      <c r="J1947"/>
    </row>
    <row r="1948" spans="5:10" x14ac:dyDescent="0.25">
      <c r="E1948"/>
      <c r="J1948"/>
    </row>
    <row r="1949" spans="5:10" x14ac:dyDescent="0.25">
      <c r="E1949"/>
      <c r="J1949"/>
    </row>
    <row r="1950" spans="5:10" x14ac:dyDescent="0.25">
      <c r="E1950"/>
      <c r="J1950"/>
    </row>
    <row r="1951" spans="5:10" x14ac:dyDescent="0.25">
      <c r="E1951"/>
      <c r="J1951"/>
    </row>
    <row r="1952" spans="5:10" x14ac:dyDescent="0.25">
      <c r="E1952"/>
      <c r="J1952"/>
    </row>
    <row r="1953" spans="5:10" x14ac:dyDescent="0.25">
      <c r="E1953"/>
      <c r="J1953"/>
    </row>
    <row r="1954" spans="5:10" x14ac:dyDescent="0.25">
      <c r="E1954"/>
      <c r="J1954"/>
    </row>
    <row r="1955" spans="5:10" x14ac:dyDescent="0.25">
      <c r="E1955"/>
      <c r="J1955"/>
    </row>
    <row r="1956" spans="5:10" x14ac:dyDescent="0.25">
      <c r="E1956"/>
      <c r="J1956"/>
    </row>
    <row r="1957" spans="5:10" x14ac:dyDescent="0.25">
      <c r="E1957"/>
      <c r="J1957"/>
    </row>
    <row r="1958" spans="5:10" x14ac:dyDescent="0.25">
      <c r="E1958"/>
      <c r="J1958"/>
    </row>
    <row r="1959" spans="5:10" x14ac:dyDescent="0.25">
      <c r="E1959"/>
      <c r="J1959"/>
    </row>
    <row r="1960" spans="5:10" x14ac:dyDescent="0.25">
      <c r="E1960"/>
      <c r="J1960"/>
    </row>
    <row r="1961" spans="5:10" x14ac:dyDescent="0.25">
      <c r="E1961"/>
      <c r="J1961"/>
    </row>
    <row r="1962" spans="5:10" x14ac:dyDescent="0.25">
      <c r="E1962"/>
      <c r="J1962"/>
    </row>
    <row r="1963" spans="5:10" x14ac:dyDescent="0.25">
      <c r="E1963"/>
      <c r="J1963"/>
    </row>
    <row r="1964" spans="5:10" x14ac:dyDescent="0.25">
      <c r="E1964"/>
      <c r="J1964"/>
    </row>
    <row r="1965" spans="5:10" x14ac:dyDescent="0.25">
      <c r="E1965"/>
      <c r="J1965"/>
    </row>
    <row r="1966" spans="5:10" x14ac:dyDescent="0.25">
      <c r="E1966"/>
      <c r="J1966"/>
    </row>
    <row r="1967" spans="5:10" x14ac:dyDescent="0.25">
      <c r="E1967"/>
      <c r="J1967"/>
    </row>
    <row r="1968" spans="5:10" x14ac:dyDescent="0.25">
      <c r="E1968"/>
      <c r="J1968"/>
    </row>
    <row r="1969" spans="5:10" x14ac:dyDescent="0.25">
      <c r="E1969"/>
      <c r="J1969"/>
    </row>
    <row r="1970" spans="5:10" x14ac:dyDescent="0.25">
      <c r="E1970"/>
      <c r="J1970"/>
    </row>
    <row r="1971" spans="5:10" x14ac:dyDescent="0.25">
      <c r="E1971"/>
      <c r="J1971"/>
    </row>
    <row r="1972" spans="5:10" x14ac:dyDescent="0.25">
      <c r="E1972"/>
      <c r="J1972"/>
    </row>
    <row r="1973" spans="5:10" x14ac:dyDescent="0.25">
      <c r="E1973"/>
      <c r="J1973"/>
    </row>
    <row r="1974" spans="5:10" x14ac:dyDescent="0.25">
      <c r="E1974"/>
      <c r="J1974"/>
    </row>
    <row r="1975" spans="5:10" x14ac:dyDescent="0.25">
      <c r="E1975"/>
      <c r="J1975"/>
    </row>
    <row r="1976" spans="5:10" x14ac:dyDescent="0.25">
      <c r="E1976"/>
      <c r="J1976"/>
    </row>
    <row r="1977" spans="5:10" x14ac:dyDescent="0.25">
      <c r="E1977"/>
      <c r="J1977"/>
    </row>
    <row r="1978" spans="5:10" x14ac:dyDescent="0.25">
      <c r="E1978"/>
      <c r="J1978"/>
    </row>
    <row r="1979" spans="5:10" x14ac:dyDescent="0.25">
      <c r="E1979"/>
      <c r="J1979"/>
    </row>
    <row r="1980" spans="5:10" x14ac:dyDescent="0.25">
      <c r="E1980"/>
      <c r="J1980"/>
    </row>
    <row r="1981" spans="5:10" x14ac:dyDescent="0.25">
      <c r="E1981"/>
      <c r="J1981"/>
    </row>
    <row r="1982" spans="5:10" x14ac:dyDescent="0.25">
      <c r="E1982"/>
      <c r="J1982"/>
    </row>
    <row r="1983" spans="5:10" x14ac:dyDescent="0.25">
      <c r="E1983"/>
      <c r="J1983"/>
    </row>
    <row r="1984" spans="5:10" x14ac:dyDescent="0.25">
      <c r="E1984"/>
      <c r="J1984"/>
    </row>
    <row r="1985" spans="5:10" x14ac:dyDescent="0.25">
      <c r="E1985"/>
      <c r="J1985"/>
    </row>
    <row r="1986" spans="5:10" x14ac:dyDescent="0.25">
      <c r="E1986"/>
      <c r="J1986"/>
    </row>
    <row r="1987" spans="5:10" x14ac:dyDescent="0.25">
      <c r="E1987"/>
      <c r="J1987"/>
    </row>
    <row r="1988" spans="5:10" x14ac:dyDescent="0.25">
      <c r="E1988"/>
      <c r="J1988"/>
    </row>
    <row r="1989" spans="5:10" x14ac:dyDescent="0.25">
      <c r="E1989"/>
      <c r="J1989"/>
    </row>
    <row r="1990" spans="5:10" x14ac:dyDescent="0.25">
      <c r="E1990"/>
      <c r="J1990"/>
    </row>
    <row r="1991" spans="5:10" x14ac:dyDescent="0.25">
      <c r="E1991"/>
      <c r="J1991"/>
    </row>
    <row r="1992" spans="5:10" x14ac:dyDescent="0.25">
      <c r="E1992"/>
      <c r="J1992"/>
    </row>
    <row r="1993" spans="5:10" x14ac:dyDescent="0.25">
      <c r="E1993"/>
      <c r="J1993"/>
    </row>
    <row r="1994" spans="5:10" x14ac:dyDescent="0.25">
      <c r="E1994"/>
      <c r="J1994"/>
    </row>
    <row r="1995" spans="5:10" x14ac:dyDescent="0.25">
      <c r="E1995"/>
      <c r="J1995"/>
    </row>
    <row r="1996" spans="5:10" x14ac:dyDescent="0.25">
      <c r="E1996"/>
      <c r="J1996"/>
    </row>
    <row r="1997" spans="5:10" x14ac:dyDescent="0.25">
      <c r="E1997"/>
      <c r="J1997"/>
    </row>
    <row r="1998" spans="5:10" x14ac:dyDescent="0.25">
      <c r="E1998"/>
      <c r="J1998"/>
    </row>
    <row r="1999" spans="5:10" x14ac:dyDescent="0.25">
      <c r="E1999"/>
      <c r="J1999"/>
    </row>
    <row r="2000" spans="5:10" x14ac:dyDescent="0.25">
      <c r="E2000"/>
      <c r="J2000"/>
    </row>
  </sheetData>
  <autoFilter ref="A1:J488" xr:uid="{1D07461D-646D-4E3D-8EEA-F1F2D9B59514}"/>
  <phoneticPr fontId="8" type="noConversion"/>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29a8921-312b-4026-9f32-9ba8d63bfe92" xsi:nil="true"/>
    <_Flow_SignoffStatus xmlns="a89c4f2a-e338-42ae-b7ce-5327aeb09d0a" xsi:nil="true"/>
    <lcf76f155ced4ddcb4097134ff3c332f xmlns="a89c4f2a-e338-42ae-b7ce-5327aeb09d0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DC3B9F95F333498A82E33422F09FAB" ma:contentTypeVersion="16" ma:contentTypeDescription="Crie um novo documento." ma:contentTypeScope="" ma:versionID="8e6aec28a2a169ec8e3ea3a98f82a8ef">
  <xsd:schema xmlns:xsd="http://www.w3.org/2001/XMLSchema" xmlns:xs="http://www.w3.org/2001/XMLSchema" xmlns:p="http://schemas.microsoft.com/office/2006/metadata/properties" xmlns:ns2="a89c4f2a-e338-42ae-b7ce-5327aeb09d0a" xmlns:ns3="5482c39d-3bee-4a38-bea7-fee2f8e3babd" xmlns:ns4="329a8921-312b-4026-9f32-9ba8d63bfe92" targetNamespace="http://schemas.microsoft.com/office/2006/metadata/properties" ma:root="true" ma:fieldsID="94d43b30ed4498bae41795624d94491c" ns2:_="" ns3:_="" ns4:_="">
    <xsd:import namespace="a89c4f2a-e338-42ae-b7ce-5327aeb09d0a"/>
    <xsd:import namespace="5482c39d-3bee-4a38-bea7-fee2f8e3babd"/>
    <xsd:import namespace="329a8921-312b-4026-9f32-9ba8d63bf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ServiceSearchProperties"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c4f2a-e338-42ae-b7ce-5327aeb09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3f255419-c566-42b2-8349-0f1d378884e7"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Status de liberação" ma:internalName="Status_x0020_de_x0020_liber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82c39d-3bee-4a38-bea7-fee2f8e3babd"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a8921-312b-4026-9f32-9ba8d63bfe9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001f36c-1d4b-4f1e-8cba-bdaf377d5dd2}" ma:internalName="TaxCatchAll" ma:showField="CatchAllData" ma:web="329a8921-312b-4026-9f32-9ba8d63bfe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1CC0F-354A-4044-90E6-A080CF96B97E}">
  <ds:schemaRefs>
    <ds:schemaRef ds:uri="http://schemas.microsoft.com/office/2006/metadata/properties"/>
    <ds:schemaRef ds:uri="http://schemas.microsoft.com/office/infopath/2007/PartnerControls"/>
    <ds:schemaRef ds:uri="329a8921-312b-4026-9f32-9ba8d63bfe92"/>
    <ds:schemaRef ds:uri="a89c4f2a-e338-42ae-b7ce-5327aeb09d0a"/>
  </ds:schemaRefs>
</ds:datastoreItem>
</file>

<file path=customXml/itemProps2.xml><?xml version="1.0" encoding="utf-8"?>
<ds:datastoreItem xmlns:ds="http://schemas.openxmlformats.org/officeDocument/2006/customXml" ds:itemID="{D78A47D5-A509-4070-B747-F0E77DDEE93B}">
  <ds:schemaRefs>
    <ds:schemaRef ds:uri="http://schemas.microsoft.com/sharepoint/v3/contenttype/forms"/>
  </ds:schemaRefs>
</ds:datastoreItem>
</file>

<file path=customXml/itemProps3.xml><?xml version="1.0" encoding="utf-8"?>
<ds:datastoreItem xmlns:ds="http://schemas.openxmlformats.org/officeDocument/2006/customXml" ds:itemID="{2DF18BE8-0D71-4F67-BFDF-5D2FDC122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João Roberto Vieira de Melo</dc:creator>
  <cp:keywords/>
  <dc:description/>
  <cp:lastModifiedBy>João Roberto Vieira de Melo</cp:lastModifiedBy>
  <cp:revision/>
  <dcterms:created xsi:type="dcterms:W3CDTF">2024-02-26T13:00:21Z</dcterms:created>
  <dcterms:modified xsi:type="dcterms:W3CDTF">2024-07-11T13:44:50Z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0x01010091DC3B9F95F333498A82E33422F09FAB</vt:lpwstr>
  </property>
  <property fmtid="{D5CDD505-2E9C-101B-9397-08002B2CF9AE}" pid="3" name="MediaServiceImageTags">
    <vt:lpwstr/>
  </property>
</Properties>
</file>