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66925"/>
  <mc:AlternateContent xmlns:mc="http://schemas.openxmlformats.org/markup-compatibility/2006">
    <mc:Choice Requires="x15">
      <x15ac:absPath xmlns:x15ac="http://schemas.microsoft.com/office/spreadsheetml/2010/11/ac" url="https://mpce365.sharepoint.com/teams/PGJ/CAC/NACON/GESTÃO/AUTOMAÇÃO/DISPENSA E INEXIGIBILIDADE - PORTAL DA TRANSPARÊNCIA/"/>
    </mc:Choice>
  </mc:AlternateContent>
  <xr:revisionPtr revIDLastSave="52" documentId="13_ncr:1_{21DC3A0C-B84C-4FB9-8A9C-533B3B36CE37}" xr6:coauthVersionLast="47" xr6:coauthVersionMax="47" xr10:uidLastSave="{CF4EC3E2-1F3B-4403-9377-9EB7709D7670}"/>
  <bookViews>
    <workbookView xWindow="28680" yWindow="-120" windowWidth="29040" windowHeight="15840" xr2:uid="{EF531BC0-2F8C-4D1A-99EB-02327E6C95EE}"/>
  </bookViews>
  <sheets>
    <sheet name="Planilh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E456" i="1" l="1"/>
  <c r="E401" i="1"/>
  <c r="E387" i="1"/>
  <c r="E386" i="1"/>
  <c r="E252" i="1"/>
  <c r="E248" i="1"/>
  <c r="E242" i="1"/>
  <c r="E746" i="1"/>
  <c r="E731" i="1"/>
  <c r="E698" i="1"/>
  <c r="E652" i="1"/>
  <c r="E607" i="1"/>
  <c r="E606" i="1"/>
  <c r="E586" i="1"/>
  <c r="E585" i="1"/>
  <c r="E571" i="1"/>
  <c r="E531" i="1"/>
  <c r="E530" i="1"/>
  <c r="E529" i="1"/>
  <c r="E474" i="1"/>
  <c r="E445" i="1"/>
  <c r="E431" i="1"/>
  <c r="E416" i="1"/>
  <c r="E410" i="1"/>
  <c r="E406" i="1"/>
  <c r="E389" i="1"/>
  <c r="E343" i="1"/>
  <c r="E335" i="1"/>
  <c r="E333" i="1"/>
  <c r="E314" i="1"/>
  <c r="E292" i="1"/>
  <c r="E290" i="1"/>
  <c r="E289" i="1"/>
  <c r="E287" i="1"/>
  <c r="E286" i="1"/>
  <c r="E253" i="1"/>
  <c r="E192" i="1"/>
  <c r="E110" i="1"/>
  <c r="E103" i="1"/>
  <c r="E102" i="1"/>
  <c r="E99" i="1"/>
  <c r="C3" i="1"/>
  <c r="G3" i="1"/>
  <c r="C4" i="1"/>
  <c r="G4" i="1"/>
  <c r="C5" i="1"/>
  <c r="E5" i="1"/>
  <c r="G5" i="1"/>
  <c r="C6" i="1"/>
  <c r="G6" i="1"/>
  <c r="C7" i="1"/>
  <c r="G7" i="1"/>
  <c r="C8" i="1"/>
  <c r="E8" i="1"/>
  <c r="G8" i="1"/>
  <c r="C9" i="1"/>
  <c r="G9" i="1"/>
  <c r="C10" i="1"/>
  <c r="G10" i="1"/>
  <c r="C11" i="1"/>
  <c r="G11" i="1"/>
  <c r="C12" i="1"/>
  <c r="E12" i="1"/>
  <c r="G12" i="1"/>
  <c r="C13" i="1"/>
  <c r="E13" i="1"/>
  <c r="G13" i="1"/>
  <c r="C14" i="1"/>
  <c r="G14" i="1"/>
  <c r="C15" i="1"/>
  <c r="E15" i="1"/>
  <c r="G15" i="1"/>
  <c r="C16" i="1"/>
  <c r="G16" i="1"/>
  <c r="C17" i="1"/>
  <c r="E17" i="1"/>
  <c r="G17" i="1"/>
  <c r="C18" i="1"/>
  <c r="E18" i="1"/>
  <c r="G18" i="1"/>
  <c r="C19" i="1"/>
  <c r="E19" i="1"/>
  <c r="G19" i="1"/>
  <c r="C20" i="1"/>
  <c r="G20" i="1"/>
  <c r="C21" i="1"/>
  <c r="E21" i="1"/>
  <c r="G21" i="1"/>
  <c r="C22" i="1"/>
  <c r="G22" i="1"/>
  <c r="C23" i="1"/>
  <c r="G23" i="1"/>
  <c r="C24" i="1"/>
  <c r="G24" i="1"/>
  <c r="C25" i="1"/>
  <c r="G25" i="1"/>
  <c r="C26" i="1"/>
  <c r="G26" i="1"/>
  <c r="C27" i="1"/>
  <c r="G27" i="1"/>
  <c r="C28" i="1"/>
  <c r="E28" i="1"/>
  <c r="G28" i="1"/>
  <c r="C29" i="1"/>
  <c r="E29" i="1"/>
  <c r="G29" i="1"/>
  <c r="C30" i="1"/>
  <c r="E30" i="1"/>
  <c r="G30" i="1"/>
  <c r="C31" i="1"/>
  <c r="E31" i="1"/>
  <c r="G31" i="1"/>
  <c r="C32" i="1"/>
  <c r="E32" i="1"/>
  <c r="G32" i="1"/>
  <c r="C33" i="1"/>
  <c r="E33" i="1"/>
  <c r="G33" i="1"/>
  <c r="C34" i="1"/>
  <c r="E34" i="1"/>
  <c r="G34" i="1"/>
  <c r="C35" i="1"/>
  <c r="E35" i="1"/>
  <c r="G35" i="1"/>
  <c r="C36" i="1"/>
  <c r="E36" i="1"/>
  <c r="G36" i="1"/>
  <c r="C37" i="1"/>
  <c r="E37" i="1"/>
  <c r="G37" i="1"/>
  <c r="C38" i="1"/>
  <c r="E38" i="1"/>
  <c r="G38" i="1"/>
  <c r="C39" i="1"/>
  <c r="E39" i="1"/>
  <c r="G39" i="1"/>
  <c r="C40" i="1"/>
  <c r="E40" i="1"/>
  <c r="G40" i="1"/>
  <c r="C41" i="1"/>
  <c r="E41" i="1"/>
  <c r="G41" i="1"/>
  <c r="C42" i="1"/>
  <c r="E42" i="1"/>
  <c r="G42" i="1"/>
  <c r="C43" i="1"/>
  <c r="E43" i="1"/>
  <c r="G43" i="1"/>
  <c r="C44" i="1"/>
  <c r="E44" i="1"/>
  <c r="G44" i="1"/>
  <c r="C45" i="1"/>
  <c r="E45" i="1"/>
  <c r="G45" i="1"/>
  <c r="C46" i="1"/>
  <c r="E46" i="1"/>
  <c r="G46" i="1"/>
  <c r="C47" i="1"/>
  <c r="E47" i="1"/>
  <c r="G47" i="1"/>
  <c r="C48" i="1"/>
  <c r="E48" i="1"/>
  <c r="G48" i="1"/>
  <c r="C49" i="1"/>
  <c r="E49" i="1"/>
  <c r="G49" i="1"/>
  <c r="C50" i="1"/>
  <c r="E50" i="1"/>
  <c r="G50" i="1"/>
  <c r="C51" i="1"/>
  <c r="E51" i="1"/>
  <c r="G51" i="1"/>
  <c r="C52" i="1"/>
  <c r="E52" i="1"/>
  <c r="G52" i="1"/>
  <c r="C53" i="1"/>
  <c r="E53" i="1"/>
  <c r="G53" i="1"/>
  <c r="C54" i="1"/>
  <c r="E54" i="1"/>
  <c r="G54" i="1"/>
  <c r="C55" i="1"/>
  <c r="E55" i="1"/>
  <c r="G55" i="1"/>
  <c r="C56" i="1"/>
  <c r="E56" i="1"/>
  <c r="G56" i="1"/>
  <c r="C57" i="1"/>
  <c r="E57" i="1"/>
  <c r="G57" i="1"/>
  <c r="C58" i="1"/>
  <c r="E58" i="1"/>
  <c r="G58" i="1"/>
  <c r="C59" i="1"/>
  <c r="E59" i="1"/>
  <c r="G59" i="1"/>
  <c r="C60" i="1"/>
  <c r="E60" i="1"/>
  <c r="G60" i="1"/>
  <c r="C61" i="1"/>
  <c r="E61" i="1"/>
  <c r="G61" i="1"/>
  <c r="C62" i="1"/>
  <c r="E62" i="1"/>
  <c r="G62" i="1"/>
  <c r="C63" i="1"/>
  <c r="E63" i="1"/>
  <c r="G63" i="1"/>
  <c r="C64" i="1"/>
  <c r="E64" i="1"/>
  <c r="G64" i="1"/>
  <c r="C65" i="1"/>
  <c r="E65" i="1"/>
  <c r="G65" i="1"/>
  <c r="C66" i="1"/>
  <c r="E66" i="1"/>
  <c r="G66" i="1"/>
  <c r="C67" i="1"/>
  <c r="E67" i="1"/>
  <c r="G67" i="1"/>
  <c r="C68" i="1"/>
  <c r="E68" i="1"/>
  <c r="G68" i="1"/>
  <c r="C69" i="1"/>
  <c r="E69" i="1"/>
  <c r="G69" i="1"/>
  <c r="C70" i="1"/>
  <c r="E70" i="1"/>
  <c r="G70" i="1"/>
  <c r="C71" i="1"/>
  <c r="E71" i="1"/>
  <c r="G71" i="1"/>
  <c r="C72" i="1"/>
  <c r="E72" i="1"/>
  <c r="G72" i="1"/>
  <c r="C73" i="1"/>
  <c r="E73" i="1"/>
  <c r="G73" i="1"/>
  <c r="C74" i="1"/>
  <c r="E74" i="1"/>
  <c r="G74" i="1"/>
  <c r="C75" i="1"/>
  <c r="E75" i="1"/>
  <c r="G75" i="1"/>
  <c r="C76" i="1"/>
  <c r="E76" i="1"/>
  <c r="G76" i="1"/>
  <c r="C77" i="1"/>
  <c r="E77" i="1"/>
  <c r="G77" i="1"/>
  <c r="C78" i="1"/>
  <c r="E78" i="1"/>
  <c r="G78" i="1"/>
  <c r="C79" i="1"/>
  <c r="E79" i="1"/>
  <c r="G79" i="1"/>
  <c r="C80" i="1"/>
  <c r="E80" i="1"/>
  <c r="G80" i="1"/>
  <c r="C81" i="1"/>
  <c r="E81" i="1"/>
  <c r="G81" i="1"/>
  <c r="C82" i="1"/>
  <c r="E82" i="1"/>
  <c r="G82" i="1"/>
  <c r="C83" i="1"/>
  <c r="E83" i="1"/>
  <c r="G83" i="1"/>
  <c r="C84" i="1"/>
  <c r="E84" i="1"/>
  <c r="G84" i="1"/>
  <c r="C85" i="1"/>
  <c r="E85" i="1"/>
  <c r="G85" i="1"/>
  <c r="C86" i="1"/>
  <c r="E86" i="1"/>
  <c r="G86" i="1"/>
  <c r="C87" i="1"/>
  <c r="E87" i="1"/>
  <c r="G87" i="1"/>
  <c r="C88" i="1"/>
  <c r="E88" i="1"/>
  <c r="G88" i="1"/>
  <c r="C89" i="1"/>
  <c r="E89" i="1"/>
  <c r="G89" i="1"/>
  <c r="C90" i="1"/>
  <c r="E90" i="1"/>
  <c r="G90" i="1"/>
  <c r="C91" i="1"/>
  <c r="E91" i="1"/>
  <c r="G91" i="1"/>
  <c r="C92" i="1"/>
  <c r="E92" i="1"/>
  <c r="G92" i="1"/>
  <c r="C93" i="1"/>
  <c r="E93" i="1"/>
  <c r="G93" i="1"/>
  <c r="C94" i="1"/>
  <c r="E94" i="1"/>
  <c r="G94" i="1"/>
  <c r="C95" i="1"/>
  <c r="E95" i="1"/>
  <c r="G95" i="1"/>
  <c r="C96" i="1"/>
  <c r="E96" i="1"/>
  <c r="G96" i="1"/>
  <c r="C97" i="1"/>
  <c r="E97" i="1"/>
  <c r="G97" i="1"/>
  <c r="C98" i="1"/>
  <c r="E98" i="1"/>
  <c r="G98" i="1"/>
  <c r="C99" i="1"/>
  <c r="G99" i="1"/>
  <c r="C100" i="1"/>
  <c r="E100" i="1"/>
  <c r="G100" i="1"/>
  <c r="C101" i="1"/>
  <c r="E101" i="1"/>
  <c r="G101" i="1"/>
  <c r="C102" i="1"/>
  <c r="G102" i="1"/>
  <c r="C103" i="1"/>
  <c r="G103" i="1"/>
  <c r="C104" i="1"/>
  <c r="E104" i="1"/>
  <c r="G104" i="1"/>
  <c r="C105" i="1"/>
  <c r="E105" i="1"/>
  <c r="G105" i="1"/>
  <c r="C106" i="1"/>
  <c r="E106" i="1"/>
  <c r="G106" i="1"/>
  <c r="C107" i="1"/>
  <c r="E107" i="1"/>
  <c r="G107" i="1"/>
  <c r="C108" i="1"/>
  <c r="E108" i="1"/>
  <c r="G108" i="1"/>
  <c r="C109" i="1"/>
  <c r="E109" i="1"/>
  <c r="G109" i="1"/>
  <c r="C110" i="1"/>
  <c r="G110" i="1"/>
  <c r="C111" i="1"/>
  <c r="E111" i="1"/>
  <c r="G111" i="1"/>
  <c r="C112" i="1"/>
  <c r="E112" i="1"/>
  <c r="G112" i="1"/>
  <c r="C113" i="1"/>
  <c r="E113" i="1"/>
  <c r="G113" i="1"/>
  <c r="C114" i="1"/>
  <c r="E114" i="1"/>
  <c r="G114" i="1"/>
  <c r="C115" i="1"/>
  <c r="E115" i="1"/>
  <c r="G115" i="1"/>
  <c r="C116" i="1"/>
  <c r="E116" i="1"/>
  <c r="G116" i="1"/>
  <c r="C117" i="1"/>
  <c r="E117" i="1"/>
  <c r="G117" i="1"/>
  <c r="C118" i="1"/>
  <c r="E118" i="1"/>
  <c r="G118" i="1"/>
  <c r="C119" i="1"/>
  <c r="E119" i="1"/>
  <c r="G119" i="1"/>
  <c r="C120" i="1"/>
  <c r="E120" i="1"/>
  <c r="G120" i="1"/>
  <c r="C121" i="1"/>
  <c r="E121" i="1"/>
  <c r="G121" i="1"/>
  <c r="C122" i="1"/>
  <c r="E122" i="1"/>
  <c r="G122" i="1"/>
  <c r="C123" i="1"/>
  <c r="E123" i="1"/>
  <c r="G123" i="1"/>
  <c r="C124" i="1"/>
  <c r="E124" i="1"/>
  <c r="G124" i="1"/>
  <c r="C125" i="1"/>
  <c r="E125" i="1"/>
  <c r="G125" i="1"/>
  <c r="C126" i="1"/>
  <c r="E126" i="1"/>
  <c r="G126" i="1"/>
  <c r="C127" i="1"/>
  <c r="E127" i="1"/>
  <c r="G127" i="1"/>
  <c r="C128" i="1"/>
  <c r="E128" i="1"/>
  <c r="G128" i="1"/>
  <c r="C129" i="1"/>
  <c r="E129" i="1"/>
  <c r="G129" i="1"/>
  <c r="C130" i="1"/>
  <c r="E130" i="1"/>
  <c r="G130" i="1"/>
  <c r="C131" i="1"/>
  <c r="E131" i="1"/>
  <c r="G131" i="1"/>
  <c r="C132" i="1"/>
  <c r="E132" i="1"/>
  <c r="G132" i="1"/>
  <c r="C133" i="1"/>
  <c r="E133" i="1"/>
  <c r="G133" i="1"/>
  <c r="C134" i="1"/>
  <c r="E134" i="1"/>
  <c r="G134" i="1"/>
  <c r="C135" i="1"/>
  <c r="E135" i="1"/>
  <c r="G135" i="1"/>
  <c r="C136" i="1"/>
  <c r="E136" i="1"/>
  <c r="G136" i="1"/>
  <c r="C137" i="1"/>
  <c r="E137" i="1"/>
  <c r="G137" i="1"/>
  <c r="C138" i="1"/>
  <c r="E138" i="1"/>
  <c r="G138" i="1"/>
  <c r="C139" i="1"/>
  <c r="E139" i="1"/>
  <c r="G139" i="1"/>
  <c r="C140" i="1"/>
  <c r="E140" i="1"/>
  <c r="G140" i="1"/>
  <c r="C141" i="1"/>
  <c r="E141" i="1"/>
  <c r="G141" i="1"/>
  <c r="C142" i="1"/>
  <c r="E142" i="1"/>
  <c r="G142" i="1"/>
  <c r="C143" i="1"/>
  <c r="E143" i="1"/>
  <c r="G143" i="1"/>
  <c r="C144" i="1"/>
  <c r="E144" i="1"/>
  <c r="G144" i="1"/>
  <c r="C145" i="1"/>
  <c r="E145" i="1"/>
  <c r="G145" i="1"/>
  <c r="C146" i="1"/>
  <c r="E146" i="1"/>
  <c r="G146" i="1"/>
  <c r="C147" i="1"/>
  <c r="E147" i="1"/>
  <c r="G147" i="1"/>
  <c r="C148" i="1"/>
  <c r="E148" i="1"/>
  <c r="G148" i="1"/>
  <c r="C149" i="1"/>
  <c r="E149" i="1"/>
  <c r="G149" i="1"/>
  <c r="C150" i="1"/>
  <c r="E150" i="1"/>
  <c r="G150" i="1"/>
  <c r="C151" i="1"/>
  <c r="E151" i="1"/>
  <c r="G151" i="1"/>
  <c r="C152" i="1"/>
  <c r="E152" i="1"/>
  <c r="G152" i="1"/>
  <c r="C153" i="1"/>
  <c r="E153" i="1"/>
  <c r="G153" i="1"/>
  <c r="C154" i="1"/>
  <c r="E154" i="1"/>
  <c r="G154" i="1"/>
  <c r="C155" i="1"/>
  <c r="G155" i="1"/>
  <c r="C156" i="1"/>
  <c r="E156" i="1"/>
  <c r="G156" i="1"/>
  <c r="C157" i="1"/>
  <c r="E157" i="1"/>
  <c r="G157" i="1"/>
  <c r="C158" i="1"/>
  <c r="E158" i="1"/>
  <c r="G158" i="1"/>
  <c r="C159" i="1"/>
  <c r="E159" i="1"/>
  <c r="G159" i="1"/>
  <c r="C160" i="1"/>
  <c r="E160" i="1"/>
  <c r="G160" i="1"/>
  <c r="C161" i="1"/>
  <c r="E161" i="1"/>
  <c r="G161" i="1"/>
  <c r="C162" i="1"/>
  <c r="E162" i="1"/>
  <c r="G162" i="1"/>
  <c r="C163" i="1"/>
  <c r="E163" i="1"/>
  <c r="G163" i="1"/>
  <c r="C164" i="1"/>
  <c r="E164" i="1"/>
  <c r="G164" i="1"/>
  <c r="C165" i="1"/>
  <c r="E165" i="1"/>
  <c r="G165" i="1"/>
  <c r="C166" i="1"/>
  <c r="E166" i="1"/>
  <c r="G166" i="1"/>
  <c r="C167" i="1"/>
  <c r="G167" i="1"/>
  <c r="C168" i="1"/>
  <c r="E168" i="1"/>
  <c r="G168" i="1"/>
  <c r="C169" i="1"/>
  <c r="G169" i="1"/>
  <c r="C170" i="1"/>
  <c r="E170" i="1"/>
  <c r="G170" i="1"/>
  <c r="C171" i="1"/>
  <c r="E171" i="1"/>
  <c r="G171" i="1"/>
  <c r="C172" i="1"/>
  <c r="G172" i="1"/>
  <c r="C173" i="1"/>
  <c r="G173" i="1"/>
  <c r="C174" i="1"/>
  <c r="G174" i="1"/>
  <c r="C175" i="1"/>
  <c r="E175" i="1"/>
  <c r="G175" i="1"/>
  <c r="C176" i="1"/>
  <c r="G176" i="1"/>
  <c r="C177" i="1"/>
  <c r="E177" i="1"/>
  <c r="G177" i="1"/>
  <c r="C178" i="1"/>
  <c r="E178" i="1"/>
  <c r="G178" i="1"/>
  <c r="C179" i="1"/>
  <c r="E179" i="1"/>
  <c r="G179" i="1"/>
  <c r="C180" i="1"/>
  <c r="E180" i="1"/>
  <c r="G180" i="1"/>
  <c r="C181" i="1"/>
  <c r="E181" i="1"/>
  <c r="G181" i="1"/>
  <c r="C182" i="1"/>
  <c r="E182" i="1"/>
  <c r="G182" i="1"/>
  <c r="C183" i="1"/>
  <c r="E183" i="1"/>
  <c r="G183" i="1"/>
  <c r="C184" i="1"/>
  <c r="E184" i="1"/>
  <c r="G184" i="1"/>
  <c r="C185" i="1"/>
  <c r="E185" i="1"/>
  <c r="G185" i="1"/>
  <c r="C186" i="1"/>
  <c r="E186" i="1"/>
  <c r="G186" i="1"/>
  <c r="C187" i="1"/>
  <c r="E187" i="1"/>
  <c r="G187" i="1"/>
  <c r="C188" i="1"/>
  <c r="E188" i="1"/>
  <c r="G188" i="1"/>
  <c r="C189" i="1"/>
  <c r="E189" i="1"/>
  <c r="G189" i="1"/>
  <c r="C190" i="1"/>
  <c r="E190" i="1"/>
  <c r="G190" i="1"/>
  <c r="C191" i="1"/>
  <c r="E191" i="1"/>
  <c r="G191" i="1"/>
  <c r="C192" i="1"/>
  <c r="G192" i="1"/>
  <c r="C193" i="1"/>
  <c r="E193" i="1"/>
  <c r="G193" i="1"/>
  <c r="C194" i="1"/>
  <c r="E194" i="1"/>
  <c r="G194" i="1"/>
  <c r="C195" i="1"/>
  <c r="G195" i="1"/>
  <c r="C196" i="1"/>
  <c r="E196" i="1"/>
  <c r="G196" i="1"/>
  <c r="C197" i="1"/>
  <c r="E197" i="1"/>
  <c r="G197" i="1"/>
  <c r="C198" i="1"/>
  <c r="E198" i="1"/>
  <c r="G198" i="1"/>
  <c r="C199" i="1"/>
  <c r="E199" i="1"/>
  <c r="G199" i="1"/>
  <c r="C200" i="1"/>
  <c r="E200" i="1"/>
  <c r="G200" i="1"/>
  <c r="C201" i="1"/>
  <c r="E201" i="1"/>
  <c r="G201" i="1"/>
  <c r="C202" i="1"/>
  <c r="E202" i="1"/>
  <c r="G202" i="1"/>
  <c r="C203" i="1"/>
  <c r="E203" i="1"/>
  <c r="G203" i="1"/>
  <c r="C204" i="1"/>
  <c r="E204" i="1"/>
  <c r="G204" i="1"/>
  <c r="C205" i="1"/>
  <c r="E205" i="1"/>
  <c r="G205" i="1"/>
  <c r="C206" i="1"/>
  <c r="E206" i="1"/>
  <c r="G206" i="1"/>
  <c r="C207" i="1"/>
  <c r="E207" i="1"/>
  <c r="G207" i="1"/>
  <c r="C208" i="1"/>
  <c r="E208" i="1"/>
  <c r="G208" i="1"/>
  <c r="C209" i="1"/>
  <c r="E209" i="1"/>
  <c r="G209" i="1"/>
  <c r="C210" i="1"/>
  <c r="E210" i="1"/>
  <c r="G210" i="1"/>
  <c r="C211" i="1"/>
  <c r="E211" i="1"/>
  <c r="G211" i="1"/>
  <c r="C212" i="1"/>
  <c r="E212" i="1"/>
  <c r="G212" i="1"/>
  <c r="C213" i="1"/>
  <c r="E213" i="1"/>
  <c r="G213" i="1"/>
  <c r="C214" i="1"/>
  <c r="E214" i="1"/>
  <c r="G214" i="1"/>
  <c r="C215" i="1"/>
  <c r="E215" i="1"/>
  <c r="G215" i="1"/>
  <c r="C216" i="1"/>
  <c r="E216" i="1"/>
  <c r="G216" i="1"/>
  <c r="C217" i="1"/>
  <c r="E217" i="1"/>
  <c r="G217" i="1"/>
  <c r="C218" i="1"/>
  <c r="E218" i="1"/>
  <c r="G218" i="1"/>
  <c r="C219" i="1"/>
  <c r="E219" i="1"/>
  <c r="G219" i="1"/>
  <c r="C220" i="1"/>
  <c r="E220" i="1"/>
  <c r="G220" i="1"/>
  <c r="C221" i="1"/>
  <c r="E221" i="1"/>
  <c r="G221" i="1"/>
  <c r="C222" i="1"/>
  <c r="E222" i="1"/>
  <c r="G222" i="1"/>
  <c r="C223" i="1"/>
  <c r="E223" i="1"/>
  <c r="G223" i="1"/>
  <c r="C224" i="1"/>
  <c r="E224" i="1"/>
  <c r="G224" i="1"/>
  <c r="C225" i="1"/>
  <c r="E225" i="1"/>
  <c r="G225" i="1"/>
  <c r="C226" i="1"/>
  <c r="E226" i="1"/>
  <c r="G226" i="1"/>
  <c r="C227" i="1"/>
  <c r="E227" i="1"/>
  <c r="G227" i="1"/>
  <c r="C228" i="1"/>
  <c r="E228" i="1"/>
  <c r="G228" i="1"/>
  <c r="C229" i="1"/>
  <c r="E229" i="1"/>
  <c r="G229" i="1"/>
  <c r="C230" i="1"/>
  <c r="E230" i="1"/>
  <c r="G230" i="1"/>
  <c r="C231" i="1"/>
  <c r="E231" i="1"/>
  <c r="G231" i="1"/>
  <c r="C232" i="1"/>
  <c r="E232" i="1"/>
  <c r="G232" i="1"/>
  <c r="C233" i="1"/>
  <c r="E233" i="1"/>
  <c r="G233" i="1"/>
  <c r="C234" i="1"/>
  <c r="E234" i="1"/>
  <c r="G234" i="1"/>
  <c r="C235" i="1"/>
  <c r="E235" i="1"/>
  <c r="G235" i="1"/>
  <c r="C236" i="1"/>
  <c r="G236" i="1"/>
  <c r="C237" i="1"/>
  <c r="E237" i="1"/>
  <c r="G237" i="1"/>
  <c r="C238" i="1"/>
  <c r="E238" i="1"/>
  <c r="G238" i="1"/>
  <c r="C239" i="1"/>
  <c r="E239" i="1"/>
  <c r="G239" i="1"/>
  <c r="C240" i="1"/>
  <c r="E240" i="1"/>
  <c r="G240" i="1"/>
  <c r="C241" i="1"/>
  <c r="E241" i="1"/>
  <c r="G241" i="1"/>
  <c r="C242" i="1"/>
  <c r="G242" i="1"/>
  <c r="C243" i="1"/>
  <c r="E243" i="1"/>
  <c r="G243" i="1"/>
  <c r="C244" i="1"/>
  <c r="G244" i="1"/>
  <c r="C245" i="1"/>
  <c r="E245" i="1"/>
  <c r="G245" i="1"/>
  <c r="C246" i="1"/>
  <c r="E246" i="1"/>
  <c r="G246" i="1"/>
  <c r="C247" i="1"/>
  <c r="E247" i="1"/>
  <c r="G247" i="1"/>
  <c r="C248" i="1"/>
  <c r="G248" i="1"/>
  <c r="C249" i="1"/>
  <c r="E249" i="1"/>
  <c r="G249" i="1"/>
  <c r="C250" i="1"/>
  <c r="E250" i="1"/>
  <c r="G250" i="1"/>
  <c r="C251" i="1"/>
  <c r="E251" i="1"/>
  <c r="G251" i="1"/>
  <c r="C252" i="1"/>
  <c r="G252" i="1"/>
  <c r="C253" i="1"/>
  <c r="G253" i="1"/>
  <c r="C254" i="1"/>
  <c r="E254" i="1"/>
  <c r="G254" i="1"/>
  <c r="C255" i="1"/>
  <c r="E255" i="1"/>
  <c r="G255" i="1"/>
  <c r="C256" i="1"/>
  <c r="E256" i="1"/>
  <c r="G256" i="1"/>
  <c r="C257" i="1"/>
  <c r="E257" i="1"/>
  <c r="G257" i="1"/>
  <c r="C258" i="1"/>
  <c r="E258" i="1"/>
  <c r="G258" i="1"/>
  <c r="C259" i="1"/>
  <c r="E259" i="1"/>
  <c r="G259" i="1"/>
  <c r="C260" i="1"/>
  <c r="E260" i="1"/>
  <c r="G260" i="1"/>
  <c r="C261" i="1"/>
  <c r="E261" i="1"/>
  <c r="G261" i="1"/>
  <c r="C262" i="1"/>
  <c r="E262" i="1"/>
  <c r="G262" i="1"/>
  <c r="C263" i="1"/>
  <c r="E263" i="1"/>
  <c r="G263" i="1"/>
  <c r="C264" i="1"/>
  <c r="G264" i="1"/>
  <c r="C265" i="1"/>
  <c r="E265" i="1"/>
  <c r="G265" i="1"/>
  <c r="C266" i="1"/>
  <c r="E266" i="1"/>
  <c r="G266" i="1"/>
  <c r="C267" i="1"/>
  <c r="E267" i="1"/>
  <c r="G267" i="1"/>
  <c r="C268" i="1"/>
  <c r="E268" i="1"/>
  <c r="G268" i="1"/>
  <c r="C269" i="1"/>
  <c r="E269" i="1"/>
  <c r="G269" i="1"/>
  <c r="C270" i="1"/>
  <c r="E270" i="1"/>
  <c r="G270" i="1"/>
  <c r="C271" i="1"/>
  <c r="E271" i="1"/>
  <c r="G271" i="1"/>
  <c r="C272" i="1"/>
  <c r="E272" i="1"/>
  <c r="G272" i="1"/>
  <c r="C273" i="1"/>
  <c r="E273" i="1"/>
  <c r="G273" i="1"/>
  <c r="C274" i="1"/>
  <c r="E274" i="1"/>
  <c r="G274" i="1"/>
  <c r="C275" i="1"/>
  <c r="E275" i="1"/>
  <c r="G275" i="1"/>
  <c r="C276" i="1"/>
  <c r="E276" i="1"/>
  <c r="G276" i="1"/>
  <c r="C277" i="1"/>
  <c r="E277" i="1"/>
  <c r="G277" i="1"/>
  <c r="C278" i="1"/>
  <c r="E278" i="1"/>
  <c r="G278" i="1"/>
  <c r="C279" i="1"/>
  <c r="E279" i="1"/>
  <c r="G279" i="1"/>
  <c r="C280" i="1"/>
  <c r="E280" i="1"/>
  <c r="G280" i="1"/>
  <c r="C281" i="1"/>
  <c r="E281" i="1"/>
  <c r="G281" i="1"/>
  <c r="C282" i="1"/>
  <c r="E282" i="1"/>
  <c r="G282" i="1"/>
  <c r="C283" i="1"/>
  <c r="E283" i="1"/>
  <c r="G283" i="1"/>
  <c r="C284" i="1"/>
  <c r="E284" i="1"/>
  <c r="G284" i="1"/>
  <c r="C285" i="1"/>
  <c r="E285" i="1"/>
  <c r="G285" i="1"/>
  <c r="C286" i="1"/>
  <c r="G286" i="1"/>
  <c r="C287" i="1"/>
  <c r="G287" i="1"/>
  <c r="C288" i="1"/>
  <c r="G288" i="1"/>
  <c r="C289" i="1"/>
  <c r="G289" i="1"/>
  <c r="C290" i="1"/>
  <c r="G290" i="1"/>
  <c r="C291" i="1"/>
  <c r="E291" i="1"/>
  <c r="G291" i="1"/>
  <c r="C292" i="1"/>
  <c r="G292" i="1"/>
  <c r="C293" i="1"/>
  <c r="E293" i="1"/>
  <c r="G293" i="1"/>
  <c r="C294" i="1"/>
  <c r="E294" i="1"/>
  <c r="G294" i="1"/>
  <c r="C295" i="1"/>
  <c r="E295" i="1"/>
  <c r="G295" i="1"/>
  <c r="C296" i="1"/>
  <c r="E296" i="1"/>
  <c r="G296" i="1"/>
  <c r="C297" i="1"/>
  <c r="E297" i="1"/>
  <c r="G297" i="1"/>
  <c r="C298" i="1"/>
  <c r="E298" i="1"/>
  <c r="G298" i="1"/>
  <c r="C299" i="1"/>
  <c r="E299" i="1"/>
  <c r="G299" i="1"/>
  <c r="C300" i="1"/>
  <c r="E300" i="1"/>
  <c r="G300" i="1"/>
  <c r="C301" i="1"/>
  <c r="E301" i="1"/>
  <c r="G301" i="1"/>
  <c r="C302" i="1"/>
  <c r="E302" i="1"/>
  <c r="G302" i="1"/>
  <c r="C303" i="1"/>
  <c r="E303" i="1"/>
  <c r="G303" i="1"/>
  <c r="C304" i="1"/>
  <c r="E304" i="1"/>
  <c r="G304" i="1"/>
  <c r="C305" i="1"/>
  <c r="E305" i="1"/>
  <c r="G305" i="1"/>
  <c r="C306" i="1"/>
  <c r="E306" i="1"/>
  <c r="G306" i="1"/>
  <c r="C307" i="1"/>
  <c r="E307" i="1"/>
  <c r="G307" i="1"/>
  <c r="C308" i="1"/>
  <c r="E308" i="1"/>
  <c r="G308" i="1"/>
  <c r="C309" i="1"/>
  <c r="E309" i="1"/>
  <c r="G309" i="1"/>
  <c r="C310" i="1"/>
  <c r="E310" i="1"/>
  <c r="G310" i="1"/>
  <c r="C311" i="1"/>
  <c r="E311" i="1"/>
  <c r="G311" i="1"/>
  <c r="C312" i="1"/>
  <c r="E312" i="1"/>
  <c r="G312" i="1"/>
  <c r="C313" i="1"/>
  <c r="E313" i="1"/>
  <c r="G313" i="1"/>
  <c r="C314" i="1"/>
  <c r="G314" i="1"/>
  <c r="C315" i="1"/>
  <c r="E315" i="1"/>
  <c r="G315" i="1"/>
  <c r="C316" i="1"/>
  <c r="E316" i="1"/>
  <c r="G316" i="1"/>
  <c r="C317" i="1"/>
  <c r="E317" i="1"/>
  <c r="G317" i="1"/>
  <c r="C318" i="1"/>
  <c r="E318" i="1"/>
  <c r="G318" i="1"/>
  <c r="C319" i="1"/>
  <c r="E319" i="1"/>
  <c r="G319" i="1"/>
  <c r="C320" i="1"/>
  <c r="E320" i="1"/>
  <c r="G320" i="1"/>
  <c r="C321" i="1"/>
  <c r="E321" i="1"/>
  <c r="G321" i="1"/>
  <c r="C322" i="1"/>
  <c r="G322" i="1"/>
  <c r="C323" i="1"/>
  <c r="E323" i="1"/>
  <c r="G323" i="1"/>
  <c r="C324" i="1"/>
  <c r="E324" i="1"/>
  <c r="G324" i="1"/>
  <c r="C325" i="1"/>
  <c r="E325" i="1"/>
  <c r="G325" i="1"/>
  <c r="C326" i="1"/>
  <c r="E326" i="1"/>
  <c r="G326" i="1"/>
  <c r="C327" i="1"/>
  <c r="E327" i="1"/>
  <c r="G327" i="1"/>
  <c r="C328" i="1"/>
  <c r="E328" i="1"/>
  <c r="G328" i="1"/>
  <c r="C329" i="1"/>
  <c r="E329" i="1"/>
  <c r="G329" i="1"/>
  <c r="C330" i="1"/>
  <c r="E330" i="1"/>
  <c r="G330" i="1"/>
  <c r="C331" i="1"/>
  <c r="E331" i="1"/>
  <c r="G331" i="1"/>
  <c r="C332" i="1"/>
  <c r="E332" i="1"/>
  <c r="G332" i="1"/>
  <c r="C333" i="1"/>
  <c r="G333" i="1"/>
  <c r="C334" i="1"/>
  <c r="E334" i="1"/>
  <c r="G334" i="1"/>
  <c r="C335" i="1"/>
  <c r="G335" i="1"/>
  <c r="C336" i="1"/>
  <c r="G336" i="1"/>
  <c r="C337" i="1"/>
  <c r="E337" i="1"/>
  <c r="G337" i="1"/>
  <c r="C338" i="1"/>
  <c r="G338" i="1"/>
  <c r="C339" i="1"/>
  <c r="E339" i="1"/>
  <c r="G339" i="1"/>
  <c r="C340" i="1"/>
  <c r="E340" i="1"/>
  <c r="G340" i="1"/>
  <c r="C341" i="1"/>
  <c r="E341" i="1"/>
  <c r="G341" i="1"/>
  <c r="C342" i="1"/>
  <c r="G342" i="1"/>
  <c r="C343" i="1"/>
  <c r="G343" i="1"/>
  <c r="C344" i="1"/>
  <c r="E344" i="1"/>
  <c r="G344" i="1"/>
  <c r="C345" i="1"/>
  <c r="E345" i="1"/>
  <c r="G345" i="1"/>
  <c r="C346" i="1"/>
  <c r="E346" i="1"/>
  <c r="G346" i="1"/>
  <c r="C347" i="1"/>
  <c r="E347" i="1"/>
  <c r="G347" i="1"/>
  <c r="C348" i="1"/>
  <c r="E348" i="1"/>
  <c r="G348" i="1"/>
  <c r="C349" i="1"/>
  <c r="E349" i="1"/>
  <c r="G349" i="1"/>
  <c r="C350" i="1"/>
  <c r="E350" i="1"/>
  <c r="G350" i="1"/>
  <c r="C351" i="1"/>
  <c r="E351" i="1"/>
  <c r="G351" i="1"/>
  <c r="C352" i="1"/>
  <c r="E352" i="1"/>
  <c r="G352" i="1"/>
  <c r="C353" i="1"/>
  <c r="E353" i="1"/>
  <c r="G353" i="1"/>
  <c r="C354" i="1"/>
  <c r="E354" i="1"/>
  <c r="G354" i="1"/>
  <c r="C355" i="1"/>
  <c r="E355" i="1"/>
  <c r="G355" i="1"/>
  <c r="C356" i="1"/>
  <c r="E356" i="1"/>
  <c r="G356" i="1"/>
  <c r="C357" i="1"/>
  <c r="E357" i="1"/>
  <c r="G357" i="1"/>
  <c r="C358" i="1"/>
  <c r="E358" i="1"/>
  <c r="G358" i="1"/>
  <c r="C359" i="1"/>
  <c r="E359" i="1"/>
  <c r="G359" i="1"/>
  <c r="C360" i="1"/>
  <c r="E360" i="1"/>
  <c r="G360" i="1"/>
  <c r="C361" i="1"/>
  <c r="E361" i="1"/>
  <c r="G361" i="1"/>
  <c r="C362" i="1"/>
  <c r="E362" i="1"/>
  <c r="G362" i="1"/>
  <c r="C363" i="1"/>
  <c r="E363" i="1"/>
  <c r="G363" i="1"/>
  <c r="C364" i="1"/>
  <c r="E364" i="1"/>
  <c r="G364" i="1"/>
  <c r="C365" i="1"/>
  <c r="E365" i="1"/>
  <c r="G365" i="1"/>
  <c r="C366" i="1"/>
  <c r="E366" i="1"/>
  <c r="G366" i="1"/>
  <c r="C367" i="1"/>
  <c r="E367" i="1"/>
  <c r="G367" i="1"/>
  <c r="C368" i="1"/>
  <c r="E368" i="1"/>
  <c r="G368" i="1"/>
  <c r="C369" i="1"/>
  <c r="E369" i="1"/>
  <c r="G369" i="1"/>
  <c r="C370" i="1"/>
  <c r="E370" i="1"/>
  <c r="G370" i="1"/>
  <c r="C371" i="1"/>
  <c r="E371" i="1"/>
  <c r="G371" i="1"/>
  <c r="C372" i="1"/>
  <c r="E372" i="1"/>
  <c r="G372" i="1"/>
  <c r="C373" i="1"/>
  <c r="E373" i="1"/>
  <c r="G373" i="1"/>
  <c r="C374" i="1"/>
  <c r="E374" i="1"/>
  <c r="G374" i="1"/>
  <c r="C375" i="1"/>
  <c r="E375" i="1"/>
  <c r="G375" i="1"/>
  <c r="C376" i="1"/>
  <c r="E376" i="1"/>
  <c r="G376" i="1"/>
  <c r="C377" i="1"/>
  <c r="E377" i="1"/>
  <c r="G377" i="1"/>
  <c r="C378" i="1"/>
  <c r="E378" i="1"/>
  <c r="G378" i="1"/>
  <c r="C379" i="1"/>
  <c r="E379" i="1"/>
  <c r="G379" i="1"/>
  <c r="C380" i="1"/>
  <c r="E380" i="1"/>
  <c r="G380" i="1"/>
  <c r="C381" i="1"/>
  <c r="E381" i="1"/>
  <c r="G381" i="1"/>
  <c r="C382" i="1"/>
  <c r="E382" i="1"/>
  <c r="G382" i="1"/>
  <c r="C383" i="1"/>
  <c r="E383" i="1"/>
  <c r="G383" i="1"/>
  <c r="C384" i="1"/>
  <c r="E384" i="1"/>
  <c r="G384" i="1"/>
  <c r="C385" i="1"/>
  <c r="E385" i="1"/>
  <c r="G385" i="1"/>
  <c r="C386" i="1"/>
  <c r="G386" i="1"/>
  <c r="C387" i="1"/>
  <c r="G387" i="1"/>
  <c r="C388" i="1"/>
  <c r="E388" i="1"/>
  <c r="G388" i="1"/>
  <c r="C389" i="1"/>
  <c r="G389" i="1"/>
  <c r="C390" i="1"/>
  <c r="E390" i="1"/>
  <c r="G390" i="1"/>
  <c r="C391" i="1"/>
  <c r="E391" i="1"/>
  <c r="G391" i="1"/>
  <c r="C392" i="1"/>
  <c r="E392" i="1"/>
  <c r="G392" i="1"/>
  <c r="C393" i="1"/>
  <c r="E393" i="1"/>
  <c r="G393" i="1"/>
  <c r="C394" i="1"/>
  <c r="E394" i="1"/>
  <c r="G394" i="1"/>
  <c r="C395" i="1"/>
  <c r="E395" i="1"/>
  <c r="G395" i="1"/>
  <c r="C396" i="1"/>
  <c r="E396" i="1"/>
  <c r="G396" i="1"/>
  <c r="C397" i="1"/>
  <c r="E397" i="1"/>
  <c r="G397" i="1"/>
  <c r="C398" i="1"/>
  <c r="E398" i="1"/>
  <c r="G398" i="1"/>
  <c r="C399" i="1"/>
  <c r="E399" i="1"/>
  <c r="G399" i="1"/>
  <c r="C400" i="1"/>
  <c r="E400" i="1"/>
  <c r="G400" i="1"/>
  <c r="C401" i="1"/>
  <c r="G401" i="1"/>
  <c r="C402" i="1"/>
  <c r="E402" i="1"/>
  <c r="G402" i="1"/>
  <c r="C403" i="1"/>
  <c r="G403" i="1"/>
  <c r="C404" i="1"/>
  <c r="G404" i="1"/>
  <c r="C405" i="1"/>
  <c r="G405" i="1"/>
  <c r="C406" i="1"/>
  <c r="G406" i="1"/>
  <c r="C407" i="1"/>
  <c r="E407" i="1"/>
  <c r="G407" i="1"/>
  <c r="C408" i="1"/>
  <c r="E408" i="1"/>
  <c r="G408" i="1"/>
  <c r="C409" i="1"/>
  <c r="E409" i="1"/>
  <c r="G409" i="1"/>
  <c r="C410" i="1"/>
  <c r="G410" i="1"/>
  <c r="C411" i="1"/>
  <c r="G411" i="1"/>
  <c r="C412" i="1"/>
  <c r="G412" i="1"/>
  <c r="C413" i="1"/>
  <c r="E413" i="1"/>
  <c r="G413" i="1"/>
  <c r="C414" i="1"/>
  <c r="G414" i="1"/>
  <c r="C415" i="1"/>
  <c r="E415" i="1"/>
  <c r="G415" i="1"/>
  <c r="C416" i="1"/>
  <c r="G416" i="1"/>
  <c r="C417" i="1"/>
  <c r="E417" i="1"/>
  <c r="G417" i="1"/>
  <c r="C418" i="1"/>
  <c r="E418" i="1"/>
  <c r="G418" i="1"/>
  <c r="C419" i="1"/>
  <c r="E419" i="1"/>
  <c r="G419" i="1"/>
  <c r="C420" i="1"/>
  <c r="E420" i="1"/>
  <c r="G420" i="1"/>
  <c r="C421" i="1"/>
  <c r="G421" i="1"/>
  <c r="C422" i="1"/>
  <c r="G422" i="1"/>
  <c r="C423" i="1"/>
  <c r="G423" i="1"/>
  <c r="C424" i="1"/>
  <c r="G424" i="1"/>
  <c r="C425" i="1"/>
  <c r="G425" i="1"/>
  <c r="C426" i="1"/>
  <c r="G426" i="1"/>
  <c r="C427" i="1"/>
  <c r="G427" i="1"/>
  <c r="C428" i="1"/>
  <c r="G428" i="1"/>
  <c r="C429" i="1"/>
  <c r="G429" i="1"/>
  <c r="C430" i="1"/>
  <c r="E430" i="1"/>
  <c r="G430" i="1"/>
  <c r="C431" i="1"/>
  <c r="G431" i="1"/>
  <c r="C432" i="1"/>
  <c r="G432" i="1"/>
  <c r="C433" i="1"/>
  <c r="E433" i="1"/>
  <c r="G433" i="1"/>
  <c r="C434" i="1"/>
  <c r="E434" i="1"/>
  <c r="G434" i="1"/>
  <c r="C435" i="1"/>
  <c r="E435" i="1"/>
  <c r="G435" i="1"/>
  <c r="C436" i="1"/>
  <c r="E436" i="1"/>
  <c r="G436" i="1"/>
  <c r="C437" i="1"/>
  <c r="E437" i="1"/>
  <c r="G437" i="1"/>
  <c r="C438" i="1"/>
  <c r="E438" i="1"/>
  <c r="G438" i="1"/>
  <c r="C439" i="1"/>
  <c r="E439" i="1"/>
  <c r="G439" i="1"/>
  <c r="C440" i="1"/>
  <c r="E440" i="1"/>
  <c r="G440" i="1"/>
  <c r="C441" i="1"/>
  <c r="E441" i="1"/>
  <c r="G441" i="1"/>
  <c r="C442" i="1"/>
  <c r="E442" i="1"/>
  <c r="G442" i="1"/>
  <c r="C443" i="1"/>
  <c r="E443" i="1"/>
  <c r="G443" i="1"/>
  <c r="C444" i="1"/>
  <c r="E444" i="1"/>
  <c r="G444" i="1"/>
  <c r="C445" i="1"/>
  <c r="G445" i="1"/>
  <c r="C446" i="1"/>
  <c r="E446" i="1"/>
  <c r="G446" i="1"/>
  <c r="C447" i="1"/>
  <c r="E447" i="1"/>
  <c r="G447" i="1"/>
  <c r="C448" i="1"/>
  <c r="E448" i="1"/>
  <c r="G448" i="1"/>
  <c r="C449" i="1"/>
  <c r="E449" i="1"/>
  <c r="G449" i="1"/>
  <c r="C450" i="1"/>
  <c r="E450" i="1"/>
  <c r="G450" i="1"/>
  <c r="C451" i="1"/>
  <c r="E451" i="1"/>
  <c r="G451" i="1"/>
  <c r="C452" i="1"/>
  <c r="E452" i="1"/>
  <c r="G452" i="1"/>
  <c r="C453" i="1"/>
  <c r="G453" i="1"/>
  <c r="C454" i="1"/>
  <c r="E454" i="1"/>
  <c r="G454" i="1"/>
  <c r="C455" i="1"/>
  <c r="E455" i="1"/>
  <c r="G455" i="1"/>
  <c r="C456" i="1"/>
  <c r="G456" i="1"/>
  <c r="C457" i="1"/>
  <c r="E457" i="1"/>
  <c r="G457" i="1"/>
  <c r="C458" i="1"/>
  <c r="E458" i="1"/>
  <c r="G458" i="1"/>
  <c r="C459" i="1"/>
  <c r="E459" i="1"/>
  <c r="G459" i="1"/>
  <c r="C460" i="1"/>
  <c r="E460" i="1"/>
  <c r="G460" i="1"/>
  <c r="C461" i="1"/>
  <c r="E461" i="1"/>
  <c r="G461" i="1"/>
  <c r="C462" i="1"/>
  <c r="E462" i="1"/>
  <c r="G462" i="1"/>
  <c r="C463" i="1"/>
  <c r="E463" i="1"/>
  <c r="G463" i="1"/>
  <c r="C464" i="1"/>
  <c r="E464" i="1"/>
  <c r="G464" i="1"/>
  <c r="C465" i="1"/>
  <c r="E465" i="1"/>
  <c r="G465" i="1"/>
  <c r="C466" i="1"/>
  <c r="E466" i="1"/>
  <c r="G466" i="1"/>
  <c r="C467" i="1"/>
  <c r="E467" i="1"/>
  <c r="G467" i="1"/>
  <c r="C468" i="1"/>
  <c r="E468" i="1"/>
  <c r="G468" i="1"/>
  <c r="C469" i="1"/>
  <c r="E469" i="1"/>
  <c r="G469" i="1"/>
  <c r="C470" i="1"/>
  <c r="E470" i="1"/>
  <c r="G470" i="1"/>
  <c r="C471" i="1"/>
  <c r="E471" i="1"/>
  <c r="G471" i="1"/>
  <c r="C472" i="1"/>
  <c r="G472" i="1"/>
  <c r="C473" i="1"/>
  <c r="E473" i="1"/>
  <c r="G473" i="1"/>
  <c r="C474" i="1"/>
  <c r="G474" i="1"/>
  <c r="C475" i="1"/>
  <c r="E475" i="1"/>
  <c r="G475" i="1"/>
  <c r="C476" i="1"/>
  <c r="E476" i="1"/>
  <c r="G476" i="1"/>
  <c r="C477" i="1"/>
  <c r="E477" i="1"/>
  <c r="G477" i="1"/>
  <c r="C478" i="1"/>
  <c r="E478" i="1"/>
  <c r="G478" i="1"/>
  <c r="C479" i="1"/>
  <c r="G479" i="1"/>
  <c r="C480" i="1"/>
  <c r="E480" i="1"/>
  <c r="G480" i="1"/>
  <c r="C481" i="1"/>
  <c r="E481" i="1"/>
  <c r="G481" i="1"/>
  <c r="C482" i="1"/>
  <c r="E482" i="1"/>
  <c r="G482" i="1"/>
  <c r="C483" i="1"/>
  <c r="E483" i="1"/>
  <c r="G483" i="1"/>
  <c r="C484" i="1"/>
  <c r="E484" i="1"/>
  <c r="G484" i="1"/>
  <c r="C485" i="1"/>
  <c r="E485" i="1"/>
  <c r="G485" i="1"/>
  <c r="C486" i="1"/>
  <c r="E486" i="1"/>
  <c r="G486" i="1"/>
  <c r="C487" i="1"/>
  <c r="E487" i="1"/>
  <c r="G487" i="1"/>
  <c r="C488" i="1"/>
  <c r="E488" i="1"/>
  <c r="G488" i="1"/>
  <c r="C489" i="1"/>
  <c r="E489" i="1"/>
  <c r="G489" i="1"/>
  <c r="C490" i="1"/>
  <c r="E490" i="1"/>
  <c r="G490" i="1"/>
  <c r="C491" i="1"/>
  <c r="E491" i="1"/>
  <c r="G491" i="1"/>
  <c r="C492" i="1"/>
  <c r="E492" i="1"/>
  <c r="G492" i="1"/>
  <c r="C493" i="1"/>
  <c r="G493" i="1"/>
  <c r="C494" i="1"/>
  <c r="E494" i="1"/>
  <c r="G494" i="1"/>
  <c r="C495" i="1"/>
  <c r="E495" i="1"/>
  <c r="G495" i="1"/>
  <c r="C496" i="1"/>
  <c r="E496" i="1"/>
  <c r="G496" i="1"/>
  <c r="C497" i="1"/>
  <c r="E497" i="1"/>
  <c r="G497" i="1"/>
  <c r="C498" i="1"/>
  <c r="E498" i="1"/>
  <c r="G498" i="1"/>
  <c r="C499" i="1"/>
  <c r="E499" i="1"/>
  <c r="G499" i="1"/>
  <c r="C500" i="1"/>
  <c r="E500" i="1"/>
  <c r="G500" i="1"/>
  <c r="C501" i="1"/>
  <c r="E501" i="1"/>
  <c r="G501" i="1"/>
  <c r="C502" i="1"/>
  <c r="E502" i="1"/>
  <c r="G502" i="1"/>
  <c r="C503" i="1"/>
  <c r="E503" i="1"/>
  <c r="G503" i="1"/>
  <c r="C504" i="1"/>
  <c r="E504" i="1"/>
  <c r="G504" i="1"/>
  <c r="C505" i="1"/>
  <c r="E505" i="1"/>
  <c r="G505" i="1"/>
  <c r="C506" i="1"/>
  <c r="E506" i="1"/>
  <c r="G506" i="1"/>
  <c r="C507" i="1"/>
  <c r="E507" i="1"/>
  <c r="G507" i="1"/>
  <c r="C508" i="1"/>
  <c r="E508" i="1"/>
  <c r="G508" i="1"/>
  <c r="C509" i="1"/>
  <c r="E509" i="1"/>
  <c r="G509" i="1"/>
  <c r="C510" i="1"/>
  <c r="E510" i="1"/>
  <c r="G510" i="1"/>
  <c r="C511" i="1"/>
  <c r="E511" i="1"/>
  <c r="G511" i="1"/>
  <c r="C512" i="1"/>
  <c r="E512" i="1"/>
  <c r="G512" i="1"/>
  <c r="C513" i="1"/>
  <c r="E513" i="1"/>
  <c r="G513" i="1"/>
  <c r="C514" i="1"/>
  <c r="E514" i="1"/>
  <c r="G514" i="1"/>
  <c r="C515" i="1"/>
  <c r="E515" i="1"/>
  <c r="G515" i="1"/>
  <c r="C516" i="1"/>
  <c r="E516" i="1"/>
  <c r="G516" i="1"/>
  <c r="C517" i="1"/>
  <c r="E517" i="1"/>
  <c r="G517" i="1"/>
  <c r="C518" i="1"/>
  <c r="E518" i="1"/>
  <c r="G518" i="1"/>
  <c r="C519" i="1"/>
  <c r="E519" i="1"/>
  <c r="G519" i="1"/>
  <c r="C520" i="1"/>
  <c r="E520" i="1"/>
  <c r="G520" i="1"/>
  <c r="C521" i="1"/>
  <c r="E521" i="1"/>
  <c r="G521" i="1"/>
  <c r="C522" i="1"/>
  <c r="E522" i="1"/>
  <c r="G522" i="1"/>
  <c r="C523" i="1"/>
  <c r="E523" i="1"/>
  <c r="G523" i="1"/>
  <c r="C524" i="1"/>
  <c r="E524" i="1"/>
  <c r="G524" i="1"/>
  <c r="C525" i="1"/>
  <c r="E525" i="1"/>
  <c r="G525" i="1"/>
  <c r="C526" i="1"/>
  <c r="E526" i="1"/>
  <c r="G526" i="1"/>
  <c r="C527" i="1"/>
  <c r="E527" i="1"/>
  <c r="G527" i="1"/>
  <c r="C528" i="1"/>
  <c r="E528" i="1"/>
  <c r="G528" i="1"/>
  <c r="C529" i="1"/>
  <c r="G529" i="1"/>
  <c r="C530" i="1"/>
  <c r="G530" i="1"/>
  <c r="C531" i="1"/>
  <c r="G531" i="1"/>
  <c r="C532" i="1"/>
  <c r="E532" i="1"/>
  <c r="G532" i="1"/>
  <c r="C533" i="1"/>
  <c r="E533" i="1"/>
  <c r="G533" i="1"/>
  <c r="C534" i="1"/>
  <c r="E534" i="1"/>
  <c r="G534" i="1"/>
  <c r="C535" i="1"/>
  <c r="E535" i="1"/>
  <c r="G535" i="1"/>
  <c r="C536" i="1"/>
  <c r="E536" i="1"/>
  <c r="G536" i="1"/>
  <c r="C537" i="1"/>
  <c r="E537" i="1"/>
  <c r="G537" i="1"/>
  <c r="C538" i="1"/>
  <c r="E538" i="1"/>
  <c r="G538" i="1"/>
  <c r="C539" i="1"/>
  <c r="E539" i="1"/>
  <c r="G539" i="1"/>
  <c r="C540" i="1"/>
  <c r="E540" i="1"/>
  <c r="G540" i="1"/>
  <c r="C541" i="1"/>
  <c r="E541" i="1"/>
  <c r="G541" i="1"/>
  <c r="C542" i="1"/>
  <c r="E542" i="1"/>
  <c r="G542" i="1"/>
  <c r="C543" i="1"/>
  <c r="E543" i="1"/>
  <c r="G543" i="1"/>
  <c r="C544" i="1"/>
  <c r="E544" i="1"/>
  <c r="G544" i="1"/>
  <c r="C545" i="1"/>
  <c r="E545" i="1"/>
  <c r="G545" i="1"/>
  <c r="C546" i="1"/>
  <c r="E546" i="1"/>
  <c r="G546" i="1"/>
  <c r="C547" i="1"/>
  <c r="E547" i="1"/>
  <c r="G547" i="1"/>
  <c r="C548" i="1"/>
  <c r="E548" i="1"/>
  <c r="G548" i="1"/>
  <c r="C549" i="1"/>
  <c r="G549" i="1"/>
  <c r="C550" i="1"/>
  <c r="E550" i="1"/>
  <c r="G550" i="1"/>
  <c r="C551" i="1"/>
  <c r="G551" i="1"/>
  <c r="C552" i="1"/>
  <c r="E552" i="1"/>
  <c r="G552" i="1"/>
  <c r="C553" i="1"/>
  <c r="G553" i="1"/>
  <c r="C554" i="1"/>
  <c r="G554" i="1"/>
  <c r="C555" i="1"/>
  <c r="E555" i="1"/>
  <c r="G555" i="1"/>
  <c r="C556" i="1"/>
  <c r="E556" i="1"/>
  <c r="G556" i="1"/>
  <c r="C557" i="1"/>
  <c r="E557" i="1"/>
  <c r="G557" i="1"/>
  <c r="C558" i="1"/>
  <c r="G558" i="1"/>
  <c r="C559" i="1"/>
  <c r="E559" i="1"/>
  <c r="G559" i="1"/>
  <c r="C560" i="1"/>
  <c r="E560" i="1"/>
  <c r="G560" i="1"/>
  <c r="C561" i="1"/>
  <c r="E561" i="1"/>
  <c r="G561" i="1"/>
  <c r="C562" i="1"/>
  <c r="E562" i="1"/>
  <c r="G562" i="1"/>
  <c r="C563" i="1"/>
  <c r="E563" i="1"/>
  <c r="G563" i="1"/>
  <c r="C564" i="1"/>
  <c r="E564" i="1"/>
  <c r="G564" i="1"/>
  <c r="C565" i="1"/>
  <c r="E565" i="1"/>
  <c r="G565" i="1"/>
  <c r="C566" i="1"/>
  <c r="E566" i="1"/>
  <c r="G566" i="1"/>
  <c r="C567" i="1"/>
  <c r="G567" i="1"/>
  <c r="C568" i="1"/>
  <c r="E568" i="1"/>
  <c r="G568" i="1"/>
  <c r="C569" i="1"/>
  <c r="E569" i="1"/>
  <c r="G569" i="1"/>
  <c r="C570" i="1"/>
  <c r="E570" i="1"/>
  <c r="G570" i="1"/>
  <c r="C571" i="1"/>
  <c r="G571" i="1"/>
  <c r="C572" i="1"/>
  <c r="E572" i="1"/>
  <c r="G572" i="1"/>
  <c r="C573" i="1"/>
  <c r="E573" i="1"/>
  <c r="G573" i="1"/>
  <c r="C574" i="1"/>
  <c r="E574" i="1"/>
  <c r="G574" i="1"/>
  <c r="C575" i="1"/>
  <c r="E575" i="1"/>
  <c r="G575" i="1"/>
  <c r="C576" i="1"/>
  <c r="E576" i="1"/>
  <c r="G576" i="1"/>
  <c r="C577" i="1"/>
  <c r="E577" i="1"/>
  <c r="G577" i="1"/>
  <c r="C578" i="1"/>
  <c r="E578" i="1"/>
  <c r="G578" i="1"/>
  <c r="C579" i="1"/>
  <c r="E579" i="1"/>
  <c r="G579" i="1"/>
  <c r="C580" i="1"/>
  <c r="E580" i="1"/>
  <c r="G580" i="1"/>
  <c r="C581" i="1"/>
  <c r="E581" i="1"/>
  <c r="G581" i="1"/>
  <c r="C582" i="1"/>
  <c r="E582" i="1"/>
  <c r="G582" i="1"/>
  <c r="C583" i="1"/>
  <c r="E583" i="1"/>
  <c r="G583" i="1"/>
  <c r="C584" i="1"/>
  <c r="E584" i="1"/>
  <c r="G584" i="1"/>
  <c r="C585" i="1"/>
  <c r="G585" i="1"/>
  <c r="C586" i="1"/>
  <c r="G586" i="1"/>
  <c r="C587" i="1"/>
  <c r="E587" i="1"/>
  <c r="G587" i="1"/>
  <c r="C588" i="1"/>
  <c r="E588" i="1"/>
  <c r="G588" i="1"/>
  <c r="C589" i="1"/>
  <c r="E589" i="1"/>
  <c r="G589" i="1"/>
  <c r="C590" i="1"/>
  <c r="E590" i="1"/>
  <c r="G590" i="1"/>
  <c r="C591" i="1"/>
  <c r="E591" i="1"/>
  <c r="G591" i="1"/>
  <c r="C592" i="1"/>
  <c r="E592" i="1"/>
  <c r="G592" i="1"/>
  <c r="C593" i="1"/>
  <c r="E593" i="1"/>
  <c r="G593" i="1"/>
  <c r="C594" i="1"/>
  <c r="E594" i="1"/>
  <c r="G594" i="1"/>
  <c r="C595" i="1"/>
  <c r="E595" i="1"/>
  <c r="G595" i="1"/>
  <c r="C596" i="1"/>
  <c r="E596" i="1"/>
  <c r="G596" i="1"/>
  <c r="C597" i="1"/>
  <c r="E597" i="1"/>
  <c r="G597" i="1"/>
  <c r="C598" i="1"/>
  <c r="E598" i="1"/>
  <c r="G598" i="1"/>
  <c r="C599" i="1"/>
  <c r="G599" i="1"/>
  <c r="C600" i="1"/>
  <c r="E600" i="1"/>
  <c r="G600" i="1"/>
  <c r="C601" i="1"/>
  <c r="G601" i="1"/>
  <c r="C602" i="1"/>
  <c r="E602" i="1"/>
  <c r="G602" i="1"/>
  <c r="C603" i="1"/>
  <c r="E603" i="1"/>
  <c r="G603" i="1"/>
  <c r="C604" i="1"/>
  <c r="G604" i="1"/>
  <c r="C605" i="1"/>
  <c r="G605" i="1"/>
  <c r="C606" i="1"/>
  <c r="G606" i="1"/>
  <c r="C607" i="1"/>
  <c r="G607" i="1"/>
  <c r="C608" i="1"/>
  <c r="E608" i="1"/>
  <c r="G608" i="1"/>
  <c r="C609" i="1"/>
  <c r="G609" i="1"/>
  <c r="C610" i="1"/>
  <c r="E610" i="1"/>
  <c r="G610" i="1"/>
  <c r="C611" i="1"/>
  <c r="E611" i="1"/>
  <c r="G611" i="1"/>
  <c r="C612" i="1"/>
  <c r="E612" i="1"/>
  <c r="G612" i="1"/>
  <c r="C613" i="1"/>
  <c r="E613" i="1"/>
  <c r="G613" i="1"/>
  <c r="C614" i="1"/>
  <c r="G614" i="1"/>
  <c r="C615" i="1"/>
  <c r="G615" i="1"/>
  <c r="C616" i="1"/>
  <c r="E616" i="1"/>
  <c r="G616" i="1"/>
  <c r="C617" i="1"/>
  <c r="E617" i="1"/>
  <c r="G617" i="1"/>
  <c r="C618" i="1"/>
  <c r="E618" i="1"/>
  <c r="G618" i="1"/>
  <c r="C619" i="1"/>
  <c r="E619" i="1"/>
  <c r="G619" i="1"/>
  <c r="C620" i="1"/>
  <c r="E620" i="1"/>
  <c r="G620" i="1"/>
  <c r="C621" i="1"/>
  <c r="E621" i="1"/>
  <c r="G621" i="1"/>
  <c r="C622" i="1"/>
  <c r="E622" i="1"/>
  <c r="G622" i="1"/>
  <c r="C623" i="1"/>
  <c r="E623" i="1"/>
  <c r="G623" i="1"/>
  <c r="C624" i="1"/>
  <c r="E624" i="1"/>
  <c r="G624" i="1"/>
  <c r="C625" i="1"/>
  <c r="G625" i="1"/>
  <c r="C626" i="1"/>
  <c r="E626" i="1"/>
  <c r="G626" i="1"/>
  <c r="C627" i="1"/>
  <c r="E627" i="1"/>
  <c r="G627" i="1"/>
  <c r="C628" i="1"/>
  <c r="E628" i="1"/>
  <c r="G628" i="1"/>
  <c r="C629" i="1"/>
  <c r="E629" i="1"/>
  <c r="G629" i="1"/>
  <c r="C630" i="1"/>
  <c r="E630" i="1"/>
  <c r="G630" i="1"/>
  <c r="C631" i="1"/>
  <c r="E631" i="1"/>
  <c r="G631" i="1"/>
  <c r="C632" i="1"/>
  <c r="E632" i="1"/>
  <c r="G632" i="1"/>
  <c r="C633" i="1"/>
  <c r="E633" i="1"/>
  <c r="G633" i="1"/>
  <c r="C634" i="1"/>
  <c r="G634" i="1"/>
  <c r="C635" i="1"/>
  <c r="E635" i="1"/>
  <c r="G635" i="1"/>
  <c r="C636" i="1"/>
  <c r="E636" i="1"/>
  <c r="G636" i="1"/>
  <c r="C637" i="1"/>
  <c r="E637" i="1"/>
  <c r="G637" i="1"/>
  <c r="C638" i="1"/>
  <c r="G638" i="1"/>
  <c r="C639" i="1"/>
  <c r="E639" i="1"/>
  <c r="G639" i="1"/>
  <c r="C640" i="1"/>
  <c r="E640" i="1"/>
  <c r="G640" i="1"/>
  <c r="C641" i="1"/>
  <c r="E641" i="1"/>
  <c r="G641" i="1"/>
  <c r="C642" i="1"/>
  <c r="E642" i="1"/>
  <c r="G642" i="1"/>
  <c r="C643" i="1"/>
  <c r="E643" i="1"/>
  <c r="G643" i="1"/>
  <c r="C644" i="1"/>
  <c r="E644" i="1"/>
  <c r="G644" i="1"/>
  <c r="C645" i="1"/>
  <c r="E645" i="1"/>
  <c r="G645" i="1"/>
  <c r="C646" i="1"/>
  <c r="E646" i="1"/>
  <c r="G646" i="1"/>
  <c r="C647" i="1"/>
  <c r="G647" i="1"/>
  <c r="C648" i="1"/>
  <c r="G648" i="1"/>
  <c r="C649" i="1"/>
  <c r="G649" i="1"/>
  <c r="C650" i="1"/>
  <c r="E650" i="1"/>
  <c r="G650" i="1"/>
  <c r="C651" i="1"/>
  <c r="E651" i="1"/>
  <c r="G651" i="1"/>
  <c r="C652" i="1"/>
  <c r="G652" i="1"/>
  <c r="C653" i="1"/>
  <c r="E653" i="1"/>
  <c r="G653" i="1"/>
  <c r="C654" i="1"/>
  <c r="E654" i="1"/>
  <c r="G654" i="1"/>
  <c r="C655" i="1"/>
  <c r="G655" i="1"/>
  <c r="C656" i="1"/>
  <c r="G656" i="1"/>
  <c r="C657" i="1"/>
  <c r="G657" i="1"/>
  <c r="C658" i="1"/>
  <c r="G658" i="1"/>
  <c r="C659" i="1"/>
  <c r="G659" i="1"/>
  <c r="C660" i="1"/>
  <c r="G660" i="1"/>
  <c r="C661" i="1"/>
  <c r="G661" i="1"/>
  <c r="C662" i="1"/>
  <c r="G662" i="1"/>
  <c r="C663" i="1"/>
  <c r="G663" i="1"/>
  <c r="C664" i="1"/>
  <c r="E664" i="1"/>
  <c r="G664" i="1"/>
  <c r="C665" i="1"/>
  <c r="G665" i="1"/>
  <c r="C666" i="1"/>
  <c r="G666" i="1"/>
  <c r="C667" i="1"/>
  <c r="E667" i="1"/>
  <c r="G667" i="1"/>
  <c r="C668" i="1"/>
  <c r="G668" i="1"/>
  <c r="C669" i="1"/>
  <c r="G669" i="1"/>
  <c r="C670" i="1"/>
  <c r="E670" i="1"/>
  <c r="G670" i="1"/>
  <c r="C671" i="1"/>
  <c r="G671" i="1"/>
  <c r="C672" i="1"/>
  <c r="E672" i="1"/>
  <c r="G672" i="1"/>
  <c r="C673" i="1"/>
  <c r="G673" i="1"/>
  <c r="C674" i="1"/>
  <c r="G674" i="1"/>
  <c r="C675" i="1"/>
  <c r="G675" i="1"/>
  <c r="C676" i="1"/>
  <c r="G676" i="1"/>
  <c r="C677" i="1"/>
  <c r="G677" i="1"/>
  <c r="C678" i="1"/>
  <c r="G678" i="1"/>
  <c r="C679" i="1"/>
  <c r="G679" i="1"/>
  <c r="C680" i="1"/>
  <c r="G680" i="1"/>
  <c r="C681" i="1"/>
  <c r="G681" i="1"/>
  <c r="C682" i="1"/>
  <c r="G682" i="1"/>
  <c r="C683" i="1"/>
  <c r="G683" i="1"/>
  <c r="C684" i="1"/>
  <c r="G684" i="1"/>
  <c r="C685" i="1"/>
  <c r="G685" i="1"/>
  <c r="C686" i="1"/>
  <c r="G686" i="1"/>
  <c r="C687" i="1"/>
  <c r="G687" i="1"/>
  <c r="C688" i="1"/>
  <c r="G688" i="1"/>
  <c r="C689" i="1"/>
  <c r="G689" i="1"/>
  <c r="C690" i="1"/>
  <c r="G690" i="1"/>
  <c r="C691" i="1"/>
  <c r="G691" i="1"/>
  <c r="C692" i="1"/>
  <c r="G692" i="1"/>
  <c r="C693" i="1"/>
  <c r="G693" i="1"/>
  <c r="C694" i="1"/>
  <c r="G694" i="1"/>
  <c r="C695" i="1"/>
  <c r="G695" i="1"/>
  <c r="C696" i="1"/>
  <c r="G696" i="1"/>
  <c r="C697" i="1"/>
  <c r="G697" i="1"/>
  <c r="C698" i="1"/>
  <c r="G698" i="1"/>
  <c r="C699" i="1"/>
  <c r="G699" i="1"/>
  <c r="C700" i="1"/>
  <c r="G700" i="1"/>
  <c r="C701" i="1"/>
  <c r="G701" i="1"/>
  <c r="C702" i="1"/>
  <c r="G702" i="1"/>
  <c r="C703" i="1"/>
  <c r="G703" i="1"/>
  <c r="C704" i="1"/>
  <c r="G704" i="1"/>
  <c r="C705" i="1"/>
  <c r="E705" i="1"/>
  <c r="G705" i="1"/>
  <c r="C706" i="1"/>
  <c r="G706" i="1"/>
  <c r="C707" i="1"/>
  <c r="G707" i="1"/>
  <c r="C708" i="1"/>
  <c r="G708" i="1"/>
  <c r="C709" i="1"/>
  <c r="G709" i="1"/>
  <c r="C710" i="1"/>
  <c r="G710" i="1"/>
  <c r="C711" i="1"/>
  <c r="G711" i="1"/>
  <c r="C712" i="1"/>
  <c r="G712" i="1"/>
  <c r="C713" i="1"/>
  <c r="G713" i="1"/>
  <c r="C714" i="1"/>
  <c r="G714" i="1"/>
  <c r="C715" i="1"/>
  <c r="G715" i="1"/>
  <c r="C716" i="1"/>
  <c r="G716" i="1"/>
  <c r="C717" i="1"/>
  <c r="G717" i="1"/>
  <c r="C718" i="1"/>
  <c r="G718" i="1"/>
  <c r="C719" i="1"/>
  <c r="G719" i="1"/>
  <c r="C720" i="1"/>
  <c r="G720" i="1"/>
  <c r="C721" i="1"/>
  <c r="G721" i="1"/>
  <c r="C722" i="1"/>
  <c r="G722" i="1"/>
  <c r="C723" i="1"/>
  <c r="G723" i="1"/>
  <c r="C724" i="1"/>
  <c r="G724" i="1"/>
  <c r="C725" i="1"/>
  <c r="G725" i="1"/>
  <c r="C726" i="1"/>
  <c r="E726" i="1"/>
  <c r="G726" i="1"/>
  <c r="C727" i="1"/>
  <c r="G727" i="1"/>
  <c r="C728" i="1"/>
  <c r="E728" i="1"/>
  <c r="G728" i="1"/>
  <c r="C729" i="1"/>
  <c r="E729" i="1"/>
  <c r="G729" i="1"/>
  <c r="C730" i="1"/>
  <c r="G730" i="1"/>
  <c r="C731" i="1"/>
  <c r="G731" i="1"/>
  <c r="C732" i="1"/>
  <c r="G732" i="1"/>
  <c r="C733" i="1"/>
  <c r="G733" i="1"/>
  <c r="C734" i="1"/>
  <c r="G734" i="1"/>
  <c r="C735" i="1"/>
  <c r="G735" i="1"/>
  <c r="C736" i="1"/>
  <c r="G736" i="1"/>
  <c r="C737" i="1"/>
  <c r="G737" i="1"/>
  <c r="C738" i="1"/>
  <c r="G738" i="1"/>
  <c r="C739" i="1"/>
  <c r="G739" i="1"/>
  <c r="C740" i="1"/>
  <c r="G740" i="1"/>
  <c r="C741" i="1"/>
  <c r="E741" i="1"/>
  <c r="G741" i="1"/>
  <c r="C742" i="1"/>
  <c r="G742" i="1"/>
  <c r="C743" i="1"/>
  <c r="G743" i="1"/>
  <c r="C744" i="1"/>
  <c r="E744" i="1"/>
  <c r="G744" i="1"/>
  <c r="C745" i="1"/>
  <c r="G745" i="1"/>
  <c r="C746" i="1"/>
  <c r="G746" i="1"/>
  <c r="C747" i="1"/>
  <c r="G747" i="1"/>
  <c r="C748" i="1"/>
  <c r="G748" i="1"/>
  <c r="C749" i="1"/>
  <c r="G749" i="1"/>
  <c r="C750" i="1"/>
  <c r="E750" i="1"/>
  <c r="G750" i="1"/>
  <c r="C751" i="1"/>
  <c r="G751" i="1"/>
  <c r="C752" i="1"/>
  <c r="G752" i="1"/>
  <c r="C753" i="1"/>
  <c r="G753"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alcChain>
</file>

<file path=xl/sharedStrings.xml><?xml version="1.0" encoding="utf-8"?>
<sst xmlns="http://schemas.openxmlformats.org/spreadsheetml/2006/main" count="4800" uniqueCount="1026">
  <si>
    <t>Dispensa/Inexigibilidade de Licitação</t>
  </si>
  <si>
    <t>Preceito Legal</t>
  </si>
  <si>
    <t>Data do Empenho</t>
  </si>
  <si>
    <t>Objeto</t>
  </si>
  <si>
    <t>Elemento e SubElemento da Despesa</t>
  </si>
  <si>
    <t>Número do Empenho</t>
  </si>
  <si>
    <t>Valor do Empenho</t>
  </si>
  <si>
    <t>Contratado(a)</t>
  </si>
  <si>
    <t>CNPJ/CPF</t>
  </si>
  <si>
    <t>INEXIGIBILIDADE</t>
  </si>
  <si>
    <t>Lei n° 14.133/2021, Art. 74</t>
  </si>
  <si>
    <t>09.2024.00002055-3</t>
  </si>
  <si>
    <t>FORNECIMENTO DE ÁGUA PARA PROMOTORIA DE JUSTIÇA DE MORADA NOVA POR ESTIMATIVA RELATIVO AOS MESES DE JANEIRO A MARÇO DE 2024.</t>
  </si>
  <si>
    <t>2024NE000002</t>
  </si>
  <si>
    <t xml:space="preserve">SAAE DE MORADA NOVA                     </t>
  </si>
  <si>
    <t>7676836000150</t>
  </si>
  <si>
    <t>09.2024.00002056-4</t>
  </si>
  <si>
    <t>FORNECIMENTO DE ÁGUA PARA PROMOTORIA DE JUSTIÇA DE QUIXERAMOBIM POR ESTIMATIVA RELATIVO AOS MESES DE JANEIRO A MARÇO DE 2024</t>
  </si>
  <si>
    <t>2024NE000003</t>
  </si>
  <si>
    <t>SERVICO AUTONOMO DE AGUA E ESGOTO DE QUIXERAMOBIM</t>
  </si>
  <si>
    <t>7742778000115</t>
  </si>
  <si>
    <t>SERVIÇOS DE SUPORTE TÉCNICO DA SOLUÇÃO GUARDIÃO WEB-BY, CONMFORME CONTRATO 02/2021 E PROJETO 19/2023. POR ESTIMATIVA  PARA OS MESES DE JANEIRO A MARÇO DE 2024.</t>
  </si>
  <si>
    <t>DIGITRO TECNOLOGIA S.A.</t>
  </si>
  <si>
    <t>83472803000176</t>
  </si>
  <si>
    <t>09.2024.00002054-2</t>
  </si>
  <si>
    <t>FORNECIMENTO DE ÁGUA PARA PROMOTORIA DE JUSTIÇA DE LIMOEIRO DO NORTE POR ESTIMATIVA RELATIVO AOS MESES DE JANEIRO A MARÇO DE 2024</t>
  </si>
  <si>
    <t>2024NE000004</t>
  </si>
  <si>
    <t>SERVIÇO AUTÔNOMO DE ÁGUA E ESGOTO DE LIMOEIRO DO NORTE</t>
  </si>
  <si>
    <t>7625932000179</t>
  </si>
  <si>
    <t>09.2024.00002053-1</t>
  </si>
  <si>
    <t>FORNECIMENTO DE ÁGUA PARA PROMOTORIA DE JUSTIÇA DE JUCÁS POR ESTIMATIVA RELATIVO AOS MESES DE JANEIRO A MARÇO DE 2024</t>
  </si>
  <si>
    <t>2024NE000005</t>
  </si>
  <si>
    <t>SAAE DE JUCAS</t>
  </si>
  <si>
    <t>7434954000151</t>
  </si>
  <si>
    <t>DISPENSA</t>
  </si>
  <si>
    <t xml:space="preserve">Lei n° 14.133/2021, </t>
  </si>
  <si>
    <t>09.2021.00015712-5</t>
  </si>
  <si>
    <t>SEGUROS DE VIDA DOS ESTAGIÁRIOS DESTE MP-CE, RELATIVOS AOS MESES DE JANEIRO A MARÇO/2024 POR ESTIMATIVA, CONFORME CONTRATO 32/2021 E PROJETO 27/2023</t>
  </si>
  <si>
    <t>SEGUROS SURA S.A</t>
  </si>
  <si>
    <t>33065699000127</t>
  </si>
  <si>
    <t>ESTIMATIVO</t>
  </si>
  <si>
    <t>http://www8.mpce.mp.br/Empenhos/150001/NE/2024NE000002.pdf</t>
  </si>
  <si>
    <t/>
  </si>
  <si>
    <t>https://transparencia-area-fim.mpce.mp.br/#/consulta/processo/pastadigital/092024000020553</t>
  </si>
  <si>
    <t>http://www8.mpce.mp.br/Empenhos/150001/NE/2024NE000003.pdf</t>
  </si>
  <si>
    <t>https://transparencia-area-fim.mpce.mp.br/#/consulta/processo/pastadigital/092024000020564</t>
  </si>
  <si>
    <t>http://www8.mpce.mp.br/Empenhos/150501/NE/2024NE000003.pdf</t>
  </si>
  <si>
    <t>002/2021</t>
  </si>
  <si>
    <t>http://www8.mpce.mp.br/Empenhos/150001/NE/2024NE000004.pdf</t>
  </si>
  <si>
    <t>https://transparencia-area-fim.mpce.mp.br/#/consulta/processo/pastadigital/092024000020542</t>
  </si>
  <si>
    <t>http://www8.mpce.mp.br/Empenhos/150001/NE/2024NE000005.pdf</t>
  </si>
  <si>
    <t>https://transparencia-area-fim.mpce.mp.br/#/consulta/processo/pastadigital/092024000020531</t>
  </si>
  <si>
    <t>http://www8.mpce.mp.br/Empenhos/150501/NE/2024NE000005.pdf</t>
  </si>
  <si>
    <t>032/2021</t>
  </si>
  <si>
    <t>https://transparencia-area-fim.mpce.mp.br/#/consulta/processo/pastadigital/092021000157125</t>
  </si>
  <si>
    <t>09.2020.00000045-6</t>
  </si>
  <si>
    <t>https://transparencia-area-fim.mpce.mp.br/#/consulta/processo/pastadigital/092020000000456</t>
  </si>
  <si>
    <t>https://www8.mpce.mp.br/Empenhos/150001/Objeto/02-2021.pdf</t>
  </si>
  <si>
    <t>https://www8.mpce.mp.br/Empenhos/150001/Objeto/32-2021.pdf</t>
  </si>
  <si>
    <t>339039 - 14 - 2184.44</t>
  </si>
  <si>
    <t>339040 - 78 - 3080.07</t>
  </si>
  <si>
    <t>339039 - 14 - 2226.86</t>
  </si>
  <si>
    <t>FORNECIMENTO DE ÁGUA PARA PROMOTORIA DE JUSTIÇA DE JARDIM POR ESTIMATIVA RELATIVO AOS MESES DE JANEIRO A MARÇO DE 2024</t>
  </si>
  <si>
    <t>SAAEJ - SERVIÇO AUTONÔMO DE ÁGUA E ESGOTO DE JARDIM</t>
  </si>
  <si>
    <t>29038683000158</t>
  </si>
  <si>
    <t>FORNECIMENTO DE ÁGUA PARA PROMOTORIA DE JUSTIÇA DE JAGUARIBE POR ESTIMATIVA RELATIVO AOS MESES DE JANEIRO A MARÇO DE 2024</t>
  </si>
  <si>
    <t xml:space="preserve">SAAE DE JAGUARIBE </t>
  </si>
  <si>
    <t>5722202000160</t>
  </si>
  <si>
    <t>FORNECIMENTO DE ÁGUA PARA PROMOTORIA DE JUSTIÇA DE ITAPAJÉ POR ESTIMATIVA RELATIVO AOS MESES DE JANEIRO A MARÇO DE 2024</t>
  </si>
  <si>
    <t xml:space="preserve">SAAE DE ITAPAJE                         </t>
  </si>
  <si>
    <t>7544786000157</t>
  </si>
  <si>
    <t>339040 - 78 - 2502.06</t>
  </si>
  <si>
    <t>SOFTPLAN PLANEJAMENTO E SISTEMAS LTDA</t>
  </si>
  <si>
    <t>82845322000104</t>
  </si>
  <si>
    <t>FORNECIMENTO DE ÁGUA PARA PROMOTORIA DE JUSTIÇA DE IGUATU POR ESTIMATIVA RELATIVO AOS MESES DE JANEIRO A MARÇO DE 2024</t>
  </si>
  <si>
    <t>SERVICO AUTONOMO DE AGUA E ESGOTO DE IGUATU</t>
  </si>
  <si>
    <t>7508138000145</t>
  </si>
  <si>
    <t>FORNECIMENTO DE ÁGUA PARA PROMOTORIA DE JUSTIÇA DE ICÓ POR ESTIMATIVA RELATIVO AOS MESES DE JANEIRO A MARÇO DE 2024</t>
  </si>
  <si>
    <t xml:space="preserve">SAAE DE ICO                             </t>
  </si>
  <si>
    <t>5537196000171</t>
  </si>
  <si>
    <t xml:space="preserve">Lei 8.666/93 Art.25 - Caput </t>
  </si>
  <si>
    <t>339039 - 14 - 2149.12</t>
  </si>
  <si>
    <t>BUTUCA PRODUCOES CULTURAIS LTDA - ME</t>
  </si>
  <si>
    <t>13357557000126</t>
  </si>
  <si>
    <t>FORNECIMENTO DE ÁGUA PARA PROMOTORIA DE JUSTIÇA DE GRANJA POR ESTIMATIVA RELATIVO AOS MESES DE JANEIRO A MARÇO DE 2024</t>
  </si>
  <si>
    <t>SAAE SERV AUTONOMO AGUA ESGOTO GRANJA</t>
  </si>
  <si>
    <t>7476369000114</t>
  </si>
  <si>
    <t>Lei 8.666/1993 Art.24 VINCISO VIII</t>
  </si>
  <si>
    <t>339039 - 14 - 2188.01</t>
  </si>
  <si>
    <t xml:space="preserve">EMPRESA BRAS DE CORREIOS E TELEGRAFOS </t>
  </si>
  <si>
    <t>34028316001002</t>
  </si>
  <si>
    <t>FORNECIMENTO DE ÁGUA PARA PROMOTORIA DE JUSTIÇA DE BREJO SANTO POR ESTIMATIVA RELATIVO AOS MESES DE JANEIRO A MARÇO DE 2024</t>
  </si>
  <si>
    <t>PREFEITURA MUNICIPAL DE BREJO SANTO</t>
  </si>
  <si>
    <t>7620701000172</t>
  </si>
  <si>
    <t>FORNECIMENTO DE ÁGUA PARA PROMOTORIA DE JUSTIÇA DE CANINDÉ POR ESTIMATIVA RELATIVO AOS MESES DE JANEIRO A MARÇO DE 2024</t>
  </si>
  <si>
    <t xml:space="preserve">SAAE DE CANINDE </t>
  </si>
  <si>
    <t>7113566000179</t>
  </si>
  <si>
    <t>FORNECIMENTO DE ÁGUA PARA PROMOTORIA DE JUSTIÇA DE SOBRAL POR ESTIMATIVA RELATIVO AOS MESES DE JANEIRO A MARÇO DE 2024</t>
  </si>
  <si>
    <t>SERVIÇO AUTÔNOMO DE ÁGUA E ESGOTO DE SOBRAL</t>
  </si>
  <si>
    <t>7817778000137</t>
  </si>
  <si>
    <t>FORNECIMENTO DE ÁGUA PARA PROMOTORIA DE JUSTIÇA DE SOLONOPOLE POR ESTIMATIVA RELATIVO AOS MESES DE JANEIRO A MARÇO DE 2024</t>
  </si>
  <si>
    <t xml:space="preserve">SAAE DE SOLONOPOLE </t>
  </si>
  <si>
    <t>7852676000152</t>
  </si>
  <si>
    <t>FORNECIMENTO DE ÁGUA PARA USO NO ÂMBITO DO MINISTÉRIO PÚBLICO E PROMOTORIAS EM GERAL POR ESTIMATIVA RELATIVO AOS MESES DE JANEIRO A MARÇO DE 2024</t>
  </si>
  <si>
    <t>COMPANHIA DE AGUA E ESGOTO DO CEARA CAGECE</t>
  </si>
  <si>
    <t>7040108000157</t>
  </si>
  <si>
    <t>FORNECIMENTO DE ÁGUA PARA PROMOTORIA DE JUSTIÇA DE CRATO POR ESTIMATIVA RELATIVO AOS MESES DE JANEIRO A MARÇO DE 2024</t>
  </si>
  <si>
    <t>AMBIENTAL CRATO CONCESSIONARIA DE SANEAMENTO SPE S.A</t>
  </si>
  <si>
    <t>45898856000164</t>
  </si>
  <si>
    <t>339040 - 78 - 3081.08</t>
  </si>
  <si>
    <t>LEME CONSULTORIA EM GESTAO DE RH LTDA</t>
  </si>
  <si>
    <t>7955535000165</t>
  </si>
  <si>
    <t>Lei n° 14.133/2021, Art. 74 INEXIGIBILIDADE DE LICITAÇÃO</t>
  </si>
  <si>
    <t>GARTNER DO BRASIL SERV DE PESQUISAS LTDA</t>
  </si>
  <si>
    <t>2593165000140</t>
  </si>
  <si>
    <t>Lei n° 14.133/2021, Art. 75,x</t>
  </si>
  <si>
    <t>339039 - 14 - 2159.20</t>
  </si>
  <si>
    <t xml:space="preserve">ASSOCIAÇÃO DOS SERVIDORES DA SUPERINTENDÊNCIA DE OBRAS PÚBLICAS-ASSOP             </t>
  </si>
  <si>
    <t>7192669000171</t>
  </si>
  <si>
    <t>Lei n° 14.133/2021, Art. 75,X</t>
  </si>
  <si>
    <t>MACIEL CONSTRUCOES E TERRAPLANAGENS S.A</t>
  </si>
  <si>
    <t>41548652000142</t>
  </si>
  <si>
    <t>Lei n° 14.133/2021, Art. 75 DISPENSA, X</t>
  </si>
  <si>
    <t>B &amp; Q ENERGIA LTDA</t>
  </si>
  <si>
    <t>12255352000177</t>
  </si>
  <si>
    <t>Lei n° 14.133/2021, Art. 75 DISPENSA x</t>
  </si>
  <si>
    <t>SOL POENTE PARTICIPAÇÕES LTDA</t>
  </si>
  <si>
    <t>20657685000150</t>
  </si>
  <si>
    <t>Lei n° 14.133/2021, Art. 75, inc. X</t>
  </si>
  <si>
    <t>RESULT CONSTRUCOES EIRELI</t>
  </si>
  <si>
    <t>32697604000125</t>
  </si>
  <si>
    <t>Lei n° 14.133/2021, Art. 75, Inc. X</t>
  </si>
  <si>
    <t>WR ENGENHARIA LTDA</t>
  </si>
  <si>
    <t>11710431000168</t>
  </si>
  <si>
    <t>MJ IMOBILIÁRIA LTDA</t>
  </si>
  <si>
    <t>44114554000195</t>
  </si>
  <si>
    <t>Lei n° 14.133/2021, Art. 75</t>
  </si>
  <si>
    <t>339039 - 14 - 2156.80</t>
  </si>
  <si>
    <t xml:space="preserve">TK ELEVADORES BRASIL LTDA </t>
  </si>
  <si>
    <t>90347840001190</t>
  </si>
  <si>
    <t>J&amp;C PARTICIPAÇÕES LTDA</t>
  </si>
  <si>
    <t>15473585000134</t>
  </si>
  <si>
    <t xml:space="preserve">ARY BRASIL ADMINISTRAÇÃO DE IMÓVEIS EIRELI </t>
  </si>
  <si>
    <t>8744388000147</t>
  </si>
  <si>
    <t>BLUE STAR CENTRO EMPREENDIMENTO IMOBILIÁRIOS SPE LTDA</t>
  </si>
  <si>
    <t>22588967000179</t>
  </si>
  <si>
    <t>J CIDRAO MASSILON EIRELI</t>
  </si>
  <si>
    <t>41456187000110</t>
  </si>
  <si>
    <t>HYBERNON PARTICIPAÇÕES LTDA</t>
  </si>
  <si>
    <t>23889442000136</t>
  </si>
  <si>
    <t>Lei n 14.133/2021, Art. 75, Inc. X</t>
  </si>
  <si>
    <t>M&amp;M PARTICIPAÇÕES LTDA</t>
  </si>
  <si>
    <t>22705562000173</t>
  </si>
  <si>
    <t xml:space="preserve"> LIMA EMPREENDIMENTOS IMOBILIARIOS LTDA</t>
  </si>
  <si>
    <t>10508750000122</t>
  </si>
  <si>
    <t>Lei n 14.133/2021, Art. 74</t>
  </si>
  <si>
    <t>CLINICA MEDICA MAIS SAUDE LTDA</t>
  </si>
  <si>
    <t>33457311000133</t>
  </si>
  <si>
    <t>OLIMPO EDIFICAÇÕES LTDA</t>
  </si>
  <si>
    <t>5569807000163</t>
  </si>
  <si>
    <t>Lei n° 14.133/2021, Art. 75, X</t>
  </si>
  <si>
    <t>339036 - 12 - 2083.10</t>
  </si>
  <si>
    <t>JOAQUIM DO O DA COSTA NETO</t>
  </si>
  <si>
    <t>19678451824</t>
  </si>
  <si>
    <t>FZ IMOVEIS LTDA</t>
  </si>
  <si>
    <t>7340995000189</t>
  </si>
  <si>
    <t>LEILSON SARAIVA RIBEIRO</t>
  </si>
  <si>
    <t>81324910330</t>
  </si>
  <si>
    <t>Lei n° 14.133/2021, Art. 75 X</t>
  </si>
  <si>
    <t>GALGANI MARIA NEVES DE ARAUJO</t>
  </si>
  <si>
    <t>23017090353</t>
  </si>
  <si>
    <t>RAUHA PARTICIPACOES SA</t>
  </si>
  <si>
    <t>7936046000166</t>
  </si>
  <si>
    <t>JULIO BERNARDINO DA SILVA NETO</t>
  </si>
  <si>
    <t>50591630320</t>
  </si>
  <si>
    <t>TFL SERVICOS DE ADMINISTRACAO DE BENS LTDA</t>
  </si>
  <si>
    <t>14763826000117</t>
  </si>
  <si>
    <t>JOSE ALMEIDA DE OLIVEIRA</t>
  </si>
  <si>
    <t>2144832315</t>
  </si>
  <si>
    <t>DIANA PAULA FONTENELE MAGALHÃES</t>
  </si>
  <si>
    <t>77748638349</t>
  </si>
  <si>
    <t>Lei 8.666/1993 Art.24 ,X</t>
  </si>
  <si>
    <t>WALNEY SOEIRO OSTERNO</t>
  </si>
  <si>
    <t>31014895391</t>
  </si>
  <si>
    <t>ANA REGINA RIBEIRO RODRIGUES</t>
  </si>
  <si>
    <t>84738480391</t>
  </si>
  <si>
    <t>FRANCISCA LUCIMAR PINHEIRO PARENTE</t>
  </si>
  <si>
    <t>43713017387</t>
  </si>
  <si>
    <t>MARINA PINHEIRO DE OLIVEIRA</t>
  </si>
  <si>
    <t>1728735335</t>
  </si>
  <si>
    <t>Lei 8.666/1993 Art.24 ,10</t>
  </si>
  <si>
    <t>SERGIO DOS SANTOS SARAIVA</t>
  </si>
  <si>
    <t>91495059391</t>
  </si>
  <si>
    <t>MICHELL DO AMARAL ALMEIDA</t>
  </si>
  <si>
    <t>35165286215</t>
  </si>
  <si>
    <t>MARIA LIDUINA SILVA GALVÃO</t>
  </si>
  <si>
    <t>7136315387</t>
  </si>
  <si>
    <t>GLICERIO GOMES DE MORAIS NETO</t>
  </si>
  <si>
    <t>19556292349</t>
  </si>
  <si>
    <t>RAIMUNDO ALBANI UCHOA</t>
  </si>
  <si>
    <t>4514670359</t>
  </si>
  <si>
    <t>JOSE LEITE DE ARAUJO</t>
  </si>
  <si>
    <t>7021062320</t>
  </si>
  <si>
    <t>FRANCISO ALENCAR MACEDO</t>
  </si>
  <si>
    <t>5817870304</t>
  </si>
  <si>
    <t>CLAUDIO ROTONDO JUNIOR</t>
  </si>
  <si>
    <t>34123367852</t>
  </si>
  <si>
    <t>MARIA NOEME HOLANDA ALVES</t>
  </si>
  <si>
    <t>50937197300</t>
  </si>
  <si>
    <t>ANTONIO CLODOALDO BATISTA DA CRUZ</t>
  </si>
  <si>
    <t>25876988391</t>
  </si>
  <si>
    <t>IRANILDA BARROSO DE LIMA</t>
  </si>
  <si>
    <t>46950052391</t>
  </si>
  <si>
    <t>LUCIANO SALVIANO SAMPAIO</t>
  </si>
  <si>
    <t>65652827300</t>
  </si>
  <si>
    <t>3S EMPREENDIMENTOS IMOBILIARIOS EIRELI EPP</t>
  </si>
  <si>
    <t>21134653000133</t>
  </si>
  <si>
    <t>LUIS GONZAGA TEIXEIRA</t>
  </si>
  <si>
    <t>8034508420</t>
  </si>
  <si>
    <t>MARIA IZETE ROCHA DE MATOS</t>
  </si>
  <si>
    <t>20941439372</t>
  </si>
  <si>
    <t>ZACARIAS BARROS CAVALCANTE</t>
  </si>
  <si>
    <t>81514034891</t>
  </si>
  <si>
    <t>339036 - 12 - 2126.99</t>
  </si>
  <si>
    <t>Lei n° 14.133/2021, Art. 75, II</t>
  </si>
  <si>
    <t>339039 - 14 - 2235.99</t>
  </si>
  <si>
    <t>CREDILINK INFORMAÇÕES DE CRÉDITO LTDA</t>
  </si>
  <si>
    <t>2581711000122</t>
  </si>
  <si>
    <t>Lei n° 14.133/2021, Art. 75, 8666/93,X</t>
  </si>
  <si>
    <t>ANA CLEIDE DA SILVA SANTOS DAMASCENO</t>
  </si>
  <si>
    <t>78214130387</t>
  </si>
  <si>
    <t>339039 - 14 - 2144.07</t>
  </si>
  <si>
    <t>CÉLIA DE AGUIAR PRADO</t>
  </si>
  <si>
    <t>18904432391</t>
  </si>
  <si>
    <t>Y T CONSTRUÇÕES EIRELI</t>
  </si>
  <si>
    <t>29417319000107</t>
  </si>
  <si>
    <t>ARY FONTENELE BATISTA</t>
  </si>
  <si>
    <t>49090674349</t>
  </si>
  <si>
    <t>A.R IMOBILIÁRIA LTDA</t>
  </si>
  <si>
    <t>44231385000173</t>
  </si>
  <si>
    <t>WJGV CONSTRUÇÕES E SERVIÇOS IMOBILIARIOS LTDA</t>
  </si>
  <si>
    <t>48444032000102</t>
  </si>
  <si>
    <t>LEI Nº 14.133/21, Art. 75, CONTRATO: 023/2022 E PROJETO FRMMP: 52/2023.</t>
  </si>
  <si>
    <t>339040 - 78 - 2488.02</t>
  </si>
  <si>
    <t>EMPRESA DE TECNOLOGIA DA INFORMACAO DO CEARA ETICE</t>
  </si>
  <si>
    <t>3773788000167</t>
  </si>
  <si>
    <t>339040 - 78 - 3079.05</t>
  </si>
  <si>
    <t>TECHBIZ FORENSE DIGITAL LTDA</t>
  </si>
  <si>
    <t>5757597000218</t>
  </si>
  <si>
    <t>LEI Nº 14.133/21 , ART. 75, CONTRATO: 032/2023 E PROJETO FRMMP Nº 052/2023.</t>
  </si>
  <si>
    <t>339040 - 78 - 3078.04</t>
  </si>
  <si>
    <t>Lei n° 14.133/2021, Art. 75, Contrato nº 006/2017/PGJ.</t>
  </si>
  <si>
    <t>339039 - 14 - 2216.74</t>
  </si>
  <si>
    <t>339035 - 26 - 2347.01</t>
  </si>
  <si>
    <t>FUNDACAO DE APOIO A SERVICOS TECNICOS, ENSINO E FOMENTO A PESQUISAS - FUNDACAO ASTEF</t>
  </si>
  <si>
    <t>Lei n° 14.133/2021, Art. 75_x000D_
CONTRATO 001/2022 - PROJETO 052/2023.</t>
  </si>
  <si>
    <t>Lei n° 14.133/2021, Art. 75 - CONTRATO 028/2020</t>
  </si>
  <si>
    <t>GEOAMBIENTE SENSORIAMENTO REMOTO LTDA</t>
  </si>
  <si>
    <t>Lei n° 14.133/2021, Art. 75, Contrato 006/2020 e Projeto nº 052/2023.</t>
  </si>
  <si>
    <t>Lei n° 14.133/2021, Art. 75, INC. X</t>
  </si>
  <si>
    <t>Lei n 14.133/2021, Art. 75, Inc. X e Contrato 031/2017/PGJ.</t>
  </si>
  <si>
    <t>Lei n° 14.133/2021, Art. 74 - CONTRATO 009/2022 - PROJETO 52/2023</t>
  </si>
  <si>
    <t>339040 - 78 - 2498.13</t>
  </si>
  <si>
    <t xml:space="preserve"> GEMELO DO BRASIL S/A </t>
  </si>
  <si>
    <t>Lei n° 14.133/2021, Art. 75 - DISPENSA X</t>
  </si>
  <si>
    <t>Lei n° 14.133/2021, Art. 75, Inc. X, Contrato 012/2017/PGJ.</t>
  </si>
  <si>
    <t>Lei n° 14.133/2021, Art. 75 DISPENSA,X</t>
  </si>
  <si>
    <t>Lei n° 14.133/2021, Art. 75, X, Contrato n° 004/2020/PGJ,</t>
  </si>
  <si>
    <t>Lei n° 14.133/2021, Art. 75, X  e Contrato nº 012/2022/PGJ.</t>
  </si>
  <si>
    <t>Lei n° 14.133/2021, Art. 75, X e Contrato 041/2021/PGJ.</t>
  </si>
  <si>
    <t>Lei n° 14.133/2021, Art. 75, DISPENSA, X</t>
  </si>
  <si>
    <t>Lei n° 14.133/2021, Art. 75, x E Contrato Nº 022/2010/PGJ.</t>
  </si>
  <si>
    <t>Lei n° 14.133/2021, Art. 75, x e Contrato nº 026/2021/PGJ.</t>
  </si>
  <si>
    <t>Lei n° 14.133/2021, Art. 75, X e Contrato nº 028/2022/PGJ.</t>
  </si>
  <si>
    <t>Lei n° 14.133/2021, Art. 75, X  e Contrato nº 033/2022/PGJ.</t>
  </si>
  <si>
    <t>Lei n° 14.133/2021, Art. 74, Contrato 033/2023/PGJ</t>
  </si>
  <si>
    <t>Lei n° 14.133/2021, Art. 74, Contrato nº 044/2023/PGJ.</t>
  </si>
  <si>
    <t>Lei n° 14.133/2021, Art. 75, X, Contrato nº 026/2016/PGJ.</t>
  </si>
  <si>
    <t>Lei n° 14.133/2021, Art. 75, X e Contrato nº 036/2022/PGJ.</t>
  </si>
  <si>
    <t>Lei n° 14.133/2021, Art. 75, X e Contrato nº 0038/2021/PGJ.</t>
  </si>
  <si>
    <t>Lei n° 14.133/2021, Art. 74 - CONTRATO 056/2023</t>
  </si>
  <si>
    <t>LEI 14.133/2021, ART, 75</t>
  </si>
  <si>
    <t>Lei 8.666/93 Art.25 -I</t>
  </si>
  <si>
    <t>Lei n° 14.133/2021, Art. 75 - CONTRATO 008/2023</t>
  </si>
  <si>
    <t>Lei n° 14.133/2021, Art. 75, X e Contrato nº 084/2019/PGJ.</t>
  </si>
  <si>
    <t>Lei n° 14.133/2021, Art. 75, X e Contrato nº 008/2017/PGJ.</t>
  </si>
  <si>
    <t>Lei n° 14.133/2021, Art. 75, X, e Contrato nº 009/2016/PGJ.</t>
  </si>
  <si>
    <t>Lei n° 14.133/2021, Art. 75, X e Contrato 43/2013.</t>
  </si>
  <si>
    <t>Lei n° 14.133/2021, Art. 75, X e Contrato nº 051/2019/PGJ.</t>
  </si>
  <si>
    <t>Lei n° 14.133/2021, Art. 75, X  e Contrato 010/2022.</t>
  </si>
  <si>
    <t>Lei n° 14.133/2021, Art. 75, V  e Contrato nº 063/2019/PGJ.</t>
  </si>
  <si>
    <t>Lei n° 14.133/2021, Art. 75, V  e Contrato nº 061/2019/PGJ.</t>
  </si>
  <si>
    <t>Lei n° 14.133/2021, Art. 75, X  e Contrato nº 074/2019.</t>
  </si>
  <si>
    <t>Lei n° 14.133/2021, Art. 75, X  e Contrato nº 85/2019.</t>
  </si>
  <si>
    <t>Lei n° 14.133/2021, Art. 75, Lei nº 8666/93, art 24, XXII.</t>
  </si>
  <si>
    <t>EMPENHO DE SERVIÇOS DE ENERGIA ELÉTRICA EM BAIXA E ALTA TENSÃO À DIVERSAS UNIDADES MINISTERIAIS, REF. AOS MESES DE JANEIRO À MARÇO.</t>
  </si>
  <si>
    <t>339039 - 14 - 2183.43</t>
  </si>
  <si>
    <t>COMPANHIA ENERGETICA DO CEARA - ENEL</t>
  </si>
  <si>
    <t>Lei n° 14.133/2021, Art. 75, X e Contrato nº 034/2021/PGJ.</t>
  </si>
  <si>
    <t>Lei n° 14.133/2021, Art. 75, X  e Contrato nº 026/2017/PGJ.</t>
  </si>
  <si>
    <t>Lei n° 14.133/2021, Art. 75, X  e Contrato nº 038/2022.</t>
  </si>
  <si>
    <t>Lei n° 14.133/2021, Art. 74 e Contrato nº 036/2023/PGJ.</t>
  </si>
  <si>
    <t>Lei n° 14.133/2021, Art. 74  e Contrato nº 041/2023/PGJ.</t>
  </si>
  <si>
    <t>Lei n° 14.133/2021, Art. 75, X  e Contrato nº 024/2022/PGJ.</t>
  </si>
  <si>
    <t xml:space="preserve">Lei n° 14.133/2021, Art. 75, Inc. X_x000D_
</t>
  </si>
  <si>
    <t>Lei n° 14.133/2021, Art. 75 - CONTRATO 016/2017</t>
  </si>
  <si>
    <t>339039 - 14 - 2141.04</t>
  </si>
  <si>
    <t>Lei n° 14.133/2021, Art. 75, Contrato nº 014/2017/PGJ.</t>
  </si>
  <si>
    <t>Lei 8.666/1993 Art.24 ,x</t>
  </si>
  <si>
    <t>Lei 14.133/2021, inc. IX.</t>
  </si>
  <si>
    <t>SERVIÇOS TÉCNICOS ESPECIALIZADOS SOB DEMANDA, PARA ADEQUAÇÃO E AUTOMAÇÃO DE SERVIÇOS PÚBLICOS COM O USO DA SOLUÇÃO TECNOLÓGICA, CONF. CONTRATO 058/2023 E PROJETO 052/2023/FRMMP, REF. 2024, POR ESTIMATIVA.</t>
  </si>
  <si>
    <t xml:space="preserve">Lei 14.133/2021, art. 74, V, conf. Contrato 054/2023. _x000D_
</t>
  </si>
  <si>
    <t>DISPENSA ELETRÔNICA 027/2023. Lei 14.133/2021, 75, II.</t>
  </si>
  <si>
    <t>AQUISIÇÃO DE 20 (VINTE) DESUMIDIFICADORES DE AR, CONF. DISPENSA ELETRÔNICA 027/2023 E ORDEM DE COMPRA 017/2024/SEAD.</t>
  </si>
  <si>
    <t>449052 - 2 - 1960.62</t>
  </si>
  <si>
    <t>IMPERIO ROZERA LTDA</t>
  </si>
  <si>
    <t>DISPENSA ELETRÔNICA 001/2024 (DOMP 1692, 08.02.2024). Lei 14.133/2021, art. 75, II.</t>
  </si>
  <si>
    <t>AQUISIÇÃO DE 14 (QUATORZE) CLAVICULÁRIOS, CONF. DISPENSA ELETRÔNICA 001/2024 E ORDEM DE COMPRA 025/2024/SEAD.</t>
  </si>
  <si>
    <t>449052 - 2 - 1940.42</t>
  </si>
  <si>
    <t>VICTOR MENDES MORENO SIMOES</t>
  </si>
  <si>
    <t>AQUISIÇÃO DE 04 (QUATRO) CLAVICULÁRIOS, CONF. DISPENSA ELETRÔNICA 001/2024 E ORDEM DE COMPRA 026/2024/SEAD.</t>
  </si>
  <si>
    <t>SANTA MARIA COMÉRCIO DE BRINQUEDOS E MAT ESCOLARES EIRELI</t>
  </si>
  <si>
    <t>FORNECIMENTO DE ENERGIA ELÉTRICA EM ALTA TENSÃO À UNIDADE MINISTERIAL DO DECON - DISPENSA DE LICITAÇÃO, POR ESTIMATIVA, REFERENTE AOS MESES DE JAN, FEV E MAR/2024.</t>
  </si>
  <si>
    <t>Lei n° 14.133/2021, Art. 75 e Contrato nº 016/2017/PGJ.</t>
  </si>
  <si>
    <t>Lei n° 14.133/2021, Art. 75 e Contrato 016/2017/PGJ.</t>
  </si>
  <si>
    <t>Lei n° 14.133/2021, Art. 75 E Contrato nº 026/2016/CPL/PGJ.</t>
  </si>
  <si>
    <t>Lei n° 14.133/2021, Art. 75 e Contrato nº 074/2019/PGJ.</t>
  </si>
  <si>
    <t>Lei n° 14.133/2021, Art. 75 e Contrato nº 014/2017/PGJ.</t>
  </si>
  <si>
    <t>Lei n° 14.133/2021, Art. 75 e Contrato nº 002/2023/PGJ.</t>
  </si>
  <si>
    <t xml:space="preserve">PGA 09.2023.00029391-5. Lei 14.133/2021, art. 74, V, conf. Contrato 054/2023. _x000D_
</t>
  </si>
  <si>
    <t>Lei n° 14.133/2021, Art. 75 e Contrato nº 002/2004/PGJ.</t>
  </si>
  <si>
    <t>Lei 8.666/93, art. 25, II, comb. c/ art. 13, II, conf. Contrato 047/2019.</t>
  </si>
  <si>
    <t>Lei 8.666/93, art. 25, II, comb. c/ art. 13, II, conf. Contrato 047/2019</t>
  </si>
  <si>
    <t>Lei n° 14.133/2021, Art. 75 e Contrato nº 033/2021/PGJ.</t>
  </si>
  <si>
    <t>Lei 8.666/93, art. 24, inc. X.</t>
  </si>
  <si>
    <t>Lei n° 14.133/2021, Art. 75 e Contrato nº 038/2021/PGJ.</t>
  </si>
  <si>
    <t>Lei n° 14.133/2021, Art. 75 e Contrato nº 010/2022/PGJ.</t>
  </si>
  <si>
    <t>Lei 8.666/93 Art.25 -   inexigibilidade,I</t>
  </si>
  <si>
    <t>339039 - 14 - 2207.65</t>
  </si>
  <si>
    <t>MINHA BIBLIOTECA LTDA</t>
  </si>
  <si>
    <t>Lei 8.666/93, art. 24, inc. X., conf. Contrato 048/2019.</t>
  </si>
  <si>
    <t>Lei n° 14.133/2021, Art. 75 e Contrato nº 016/2022/PGJ.</t>
  </si>
  <si>
    <t>Lei n° 14.133/2021, Art. 74 - CONTRATO 036/2021</t>
  </si>
  <si>
    <t>EMPENHO DO VALOR REFERENTE A ANUIDADE DE ÓRGÃOS FILIADOS A ABEC BRASIL, VISANDO PRESTAÇÃO DE SERVIÇOS DE DISPONIBILIZAÇÃO DE IDENTIFICADORES DIGITAIS DE DOCUMENTOS, CONFORME CONTRATO Nº 36/2021 - POR ESTIMATIVA.</t>
  </si>
  <si>
    <t>339039 - 14 - 2143.06</t>
  </si>
  <si>
    <t>ASSOCIACAO BRASILEIRA DE EDITORES CIENTIFICOS</t>
  </si>
  <si>
    <t>Lei n° 14.133/2021, Art. 75  e Contrato nº 017/2022/PGJ.</t>
  </si>
  <si>
    <t>Lei n° 14.133/2021, Art. 75 e Contrato nº 018/2020/PGJ.</t>
  </si>
  <si>
    <t>Lei n° 14.133/2021, Art. 75 e Contrato nº 029/2022/PGJ.</t>
  </si>
  <si>
    <t>Lei n° 14.133/2021, Art. 75 e Contrato nº 008/2023/PGJ.</t>
  </si>
  <si>
    <t>Lei n° 14.133/2021, Art. 75  e Contrato nº 010/2023/PGJ.</t>
  </si>
  <si>
    <t>Lei n° 14.133/2021, Art. 75 e Contrato nº  024/2023PGJ.</t>
  </si>
  <si>
    <t>Lei 8.666/1993 Art.24 , Lei nº 14.133/21 e Contrato nº 011/2023/PGJ.</t>
  </si>
  <si>
    <t>Lei n° 14.133/2021, Art. 74  e Contrato nº 031/2018.</t>
  </si>
  <si>
    <t>Lei n° 14.133/2021, Art. 75, II, 1º Termo de Apostilamento ao Contato n. 054/2022.</t>
  </si>
  <si>
    <t>Lei n° 14.133/2021, Art. 75  e Contrato nº 039/2013/CPL/PGJ.</t>
  </si>
  <si>
    <t>Lei n° 14.133/2021, Art. 75  e Contrato nº 043/2013/CPL/PGJ.</t>
  </si>
  <si>
    <t>Lei n° 14.133/2021, Art. 75 e Contrato nº 008/2017/PGJ.</t>
  </si>
  <si>
    <t>Lei n° 14.133/2021, Art. 75 e Contrato nº 026/2017/PGJ.</t>
  </si>
  <si>
    <t xml:space="preserve">PGA 09.2023.00021416-3. Lei 14.133/2021, conf. Contrato 056/2023._x000D_
</t>
  </si>
  <si>
    <t>Lei n° 14.133/2021, Art. 75 e Contrato nº 051/2019/PGJ.</t>
  </si>
  <si>
    <t>PGA 09.2022.00037184-7/SAJ-MPCE. Lei 14.133/2021, art. 74, V, conf. Contrato 044/2023.</t>
  </si>
  <si>
    <t>PGA 09.2021.00016679-0. Lei 8.666/93, conf. Contrato 024/2022.</t>
  </si>
  <si>
    <t>Lei n° 14.133/2021, Art. 75 e Contrato nº 061/2019/PGJ.</t>
  </si>
  <si>
    <t>Lei n° 14.133/2021, Art. 75 e Contrato nº 025/2021/PGJ.</t>
  </si>
  <si>
    <t>Lei n° 14.133/2021, Art. 75 e Contrato nº 034/2021/PGJ.</t>
  </si>
  <si>
    <t>Lei n° 14.133/2021, Art. 75  e Contrato nº 028/2022/PGJ.</t>
  </si>
  <si>
    <t>Lei n° 14.133/2021, Art. 75 e Contrato nº 036/2022/PGJ.</t>
  </si>
  <si>
    <t>Lei n° 14.133/2021, Art. 75 e Contrato nº 038/2022/PGJ.</t>
  </si>
  <si>
    <t>Lei n° 14.133/2021, Art. 74 e Contrato nº 033/2023/PGJ.</t>
  </si>
  <si>
    <t>Lei n° 14.133/2021, Art. 74 e Contrato nº 041/2023/PGJ.</t>
  </si>
  <si>
    <t>DOE 1698, 20.02.2024, p. 03. Lei 14.133/2021, art. 74, III, “f”.</t>
  </si>
  <si>
    <t>CURSO IN COMPANY COM O TEMA ESCRITA JURÍDICA COM O CHATGPT: TEORIA E PRÁTICA, CONF. TERMO DE CONTRATAÇÃO DIRETA (DOE 1698, 20.02.2024, P. 03) E ORDEM DE SERVIÇO SN/ESMP.</t>
  </si>
  <si>
    <t>339039 - 14 - 2151.14</t>
  </si>
  <si>
    <t>ML EMPREENDIMENTOS E CONSULTORIA EDUCACIONAL LTDA</t>
  </si>
  <si>
    <t>PGA: 09.2023.00039691-0/SAJ-MPCE. Lei 14.133/2021, art. 74, III, “f”, conf. Contrato 019/2024.</t>
  </si>
  <si>
    <t>AOVS SISTEMAS DE INFORMATICA LTDA</t>
  </si>
  <si>
    <t>Lei n° 14.133/2021, Art. 75, X e Contrato nº 001/2015.</t>
  </si>
  <si>
    <t>Lei n° 14.133/2021, Art. 75, E e Contrato nº 026/2017.</t>
  </si>
  <si>
    <t>Lei 8.666/93, art. 24, inc. X, conf. Contrato 039/2019 (EFL, 27.03.2024).</t>
  </si>
  <si>
    <t>Lei nº 11.788/2008. Lei 8.666/93, art. 24, inc. II.</t>
  </si>
  <si>
    <t>Lei n° 14.133/2021, Art. 74,I E II</t>
  </si>
  <si>
    <t>SERVIÇOS DE TREINAMENTO IN COMPANY, TEMA"FAZENDO VÍDEO COM O CELULAR" VISANDO CAPACITAÇÃO DE 15 MEMBROS, SERVIDORES OU COLABORADORES, NO AMBITO DO MP-CE.CARGA HORÁRIA DE 20H/AULA. PERÍDO DE 27,28E 29 DE MARÇO DE 2024.</t>
  </si>
  <si>
    <t>TRAVESSA DA IMAGEM ATELIER MULTIMIDIA LTDA</t>
  </si>
  <si>
    <t>Lei n° 14.133/2021, Art. 75, X e Contrato nº026/2016/PGJ.</t>
  </si>
  <si>
    <t>Lei n° 14.133/2021, Art. 74, 4º Aditivo ao Contrato nº 002/2021/PGJ e Projeto nº 019/2023.</t>
  </si>
  <si>
    <t>Lei 8.666/93, art. 24, inc. X, conf. Contrato 039/2019.</t>
  </si>
  <si>
    <t>Lei n° 14.133/2021, Art. 75 e Contrato nº 012/2017.</t>
  </si>
  <si>
    <t>339093 - 25 - 2333.27</t>
  </si>
  <si>
    <t>Lei n° 14.133/2021, Art. 75, Contrato nº 001/2022 e Projeto nº 52/2023.</t>
  </si>
  <si>
    <t>Lei n° 14.133/2021, Art. 75, CONTRATO Nº 006/2020 E PROJETO Nº 052/2023.</t>
  </si>
  <si>
    <t>Lei n° 14.133/2021, Art. 75, CONTRATO Nº 023/2022 E PROJETO Nº 52/2023.</t>
  </si>
  <si>
    <t>Lei n° 14.133/2021, Art. 75, Contrato nº 032/2023 e Projeto nº 052/2023.</t>
  </si>
  <si>
    <t>Lei n° 14.133/2021, Art. 74, Contrato nº 015/2023 e Projeto nº 023/2023.</t>
  </si>
  <si>
    <t>PGA 09.2020.00009688-3. Lei 8.666/1993, art.24, II, conf. Contrato 025/2020.</t>
  </si>
  <si>
    <t>Lei n° 14.133/2021, Art. 74, Contrato nº 009/2022 e Projeto nº 52/2023.</t>
  </si>
  <si>
    <t>Lei n° 14.133/2021, Art. 75, Contrato nº 016/2017/PGJ.</t>
  </si>
  <si>
    <t>Lei n° 14.133/2021, Art. 74, Contrato nº 031/2018 e Projeto nº 52/2023.</t>
  </si>
  <si>
    <t>Lei n° 14.133/2021, Art. 74, Contrato nº 31/2018 e Projeto nº 52/2023.</t>
  </si>
  <si>
    <t>Lei n° 14.133/2021, Art. 74, Contrato nº 059/2023 e Projeto nº 065/2023.</t>
  </si>
  <si>
    <t>Lei n° 14.133/2021, Art. 75 e Contrato_x000D_
nº 010/2022/PGJ.</t>
  </si>
  <si>
    <t>EMPENHO DO ALUGUEL DO MÊS DE ABRIL DE 2024, DO IMÓVEL ONDE FUNCIONAM AS PROMOTORIAS DE JUSTIÇA DA COMARCA DE ICÓ, NOS TERMOS DO CONTRATO Nº 010/2022/PGJ.</t>
  </si>
  <si>
    <t>IMOBILIARIA LUIS GONZAGA TEIXEIRA LTDA</t>
  </si>
  <si>
    <t>PGA 09.2021.00024455-0. Lei 8.666/93, art. 24, X, conf. Contrato 010/2022 (EFL, 10.04.2024).</t>
  </si>
  <si>
    <t>Contrato 036/2021.</t>
  </si>
  <si>
    <t>CAMARA BRASILEIRA DO LIVRO</t>
  </si>
  <si>
    <t>Lei 8.666/93, art. 24, II, conf. Contrato 006/2021.</t>
  </si>
  <si>
    <t>339039 - 14 - 2173.35</t>
  </si>
  <si>
    <t xml:space="preserve">LEPIDUS TECNOLOGIA LTDA - ME </t>
  </si>
  <si>
    <t>DOMP 1706, 01.03.2024, Lei 14.133/2021, art. 74, III, alínea “f”.</t>
  </si>
  <si>
    <t>PALESTRA IN COMPANY FORMAÇÃO CONTINUADA EM INTELIGÊNCIA ARTIFICIAL GENERATIVA - AI0240108, A REALIZAR-SE NO DIA 08/03/2024, COM CARGA HORÁRIA DE 04H/A, PARA ATÉ 300 PESSOAS, CONF. TERMO DE CONTRATAÇÃO DIRETA PUB. DOMP 1706, 01.03.2024, E ORDEM DE SERVIÇO SN/ESMP.</t>
  </si>
  <si>
    <t>ÁRTÉNA SABER ON-LINE LTDA</t>
  </si>
  <si>
    <t>DISPENSA	003/2024 (DOMP 1711, 08.03.202). Lei 14.133/2021, art. 75, II..</t>
  </si>
  <si>
    <t>REALIZAÇÃO DO EVENTO SMART - MP, A SER REALIZADO EM JUAZEIRO DO NORTE-CE, NOS DIAS 14 E 15/03.2024, INCLUINDO LOCAÇÃO DE ESPAÇO, COFFEE BREAK E SERVIÇO DE SALA, CONF. DISPENSA DE LICITAÇÃO 003/2024 E MEMORANDO 025/2024/ASCER/MPCE.</t>
  </si>
  <si>
    <t>DJ- HOTELARIA S.A</t>
  </si>
  <si>
    <t>Lei 14.133/2021, art. 74, III, alínea “f”, conf. Termo de Deferimento da Contratação Direta (DOMP 1712, 11.03.2024).</t>
  </si>
  <si>
    <t>INSCRIÇÃO DE 2 (DOIS) SERVIDORES DO MPCE NO CURSO DEPARTAMENTO PESSOAL NA ADMINISTRAÇÃO PÚBLICA, COM CARGA HORÁRIA DE 21 H/A, A SER REALIZADO EM SÃO PAULO-SP, NO PERÍODO DE 13 A 15.05.2024, POR MEIO DE INEXIGIBILIDADE DE LICITAÇÃO.SERVIDORES CONTEMPLADOS:LUIZ OTÁVIO RODRIGUES DE FREITAS (MAT. 218323-1-6) E JOSÉ ELVISNEY MOURA BARROSO (MAT. 168229-1-4), AMBOS LOTADOS NO NÚCLEO DA FOLHA DE PAGAMENTOS.</t>
  </si>
  <si>
    <t>META CURSOS E TREINAMENTOS LTDA</t>
  </si>
  <si>
    <t xml:space="preserve">DISPENSA ELETRÔNICA 002/2024 (DOE 1715, 14.03.2024). Lei 14.133/2021, art. 75, II, conf Aviso de Contratação Direta 90002/2024 (PGA 09.2023.00040349-3/SAJ-MPCE, fls. 283)._x000D_
</t>
  </si>
  <si>
    <t>CONFECÇÃO DE LETREIRO ACRÍLICO RECORTADO A LASER, CONF. DISPENSA ELETRÔNICA 002/2024 E OS 002/2024/SEAD.</t>
  </si>
  <si>
    <t>339030 - 1 - 1902.44</t>
  </si>
  <si>
    <t>DAYANE DO COSMO MARTINS</t>
  </si>
  <si>
    <t>PGA 09.2024.00002623-6. Lei 14.133/2021, art. 74, inc. I, conf. Contrato 018/2024.</t>
  </si>
  <si>
    <t>339039 - 14 - 2214.72</t>
  </si>
  <si>
    <t>SINDICATO DAS EMPRESAS DE TRANSPORTES   DE PASSAGEIROS DO ESTADO DO CEARA</t>
  </si>
  <si>
    <t>FORNECIMENTO DE ÁGUA PARA A PROMOTORIA DE JUSTIÇA DE BREJO SANTO, REF. ABR, MAI E JUN/2024, POR ESTIMATIVA.</t>
  </si>
  <si>
    <t>FORNECIMENTO DE ÁGUA PARA A PROMOTORIA DE JUSTIÇA DE CANINDÉ, REF. ABR, MAI E JUN/2024, POR ESTIMATIVA.</t>
  </si>
  <si>
    <t>FORNECIMENTO DE ÁGUA PARA A PROMOTORIA DE JUSTIÇA DO CRATO, REF. ABR, MAI E JUN/2024, POR ESTIMATIVA.</t>
  </si>
  <si>
    <t>FORNECIMENTO DE ÁGUA PARA A PROMOTORIA DE JUSTIÇA DE GRANJA-CE, REF. ABR, MAI E JUN/2024, POR ESTIMATIVA.</t>
  </si>
  <si>
    <t>Lei 8.666/93, art. 25, caput.</t>
  </si>
  <si>
    <t>FORNECIMENTO DE ÁGUA PARA A PROMOTORIA DE JUSTIÇA DE ICÓ-CE, REF. ABR, MAI E JUN/2024, POR ESTIMATIVA.</t>
  </si>
  <si>
    <t>FORNECIMENTO DE ÁGUA DO IMÓVEL ONDE FUNCIONA A PROMOTORIA DE JUSTIÇA DE IGUATU, REF. ABR, MAI E JUN/2024, POR ESTIMATIVA.</t>
  </si>
  <si>
    <t>FORNECIMENTO DE ÁGUA- TAXA DE ÁGUA PARA AS PROMOTORIAS DE JUSTIÇA DE ITAPAJÉ, POR ESTIMATIVA, REF. AOS MESES DE ABRIL, MAIO E JUNHO DE 2024.</t>
  </si>
  <si>
    <t>Lei n° 14.133/2021, Art. 74.</t>
  </si>
  <si>
    <t>FORNECIMENTO DE ÁGUA- TAXA DE ÁGUA, PARA AS PROMOTORIAS DE JUSTIÇA DE JAGUARIBE,  REF. AOS MESES DE ABRIL, MAIO E JUNHO DE 2024, POR ESTIMATIVA.</t>
  </si>
  <si>
    <t>FORNECIMENTO DE ÁGUA- TAXA DE ÁGUA PARA AS PROMOTORIAS DE JARDIM, REF. AOS MESES DE ABRIL, MAIO E JUNHO DE 2024.</t>
  </si>
  <si>
    <t>FORNECIMENTO DE ÁGUA- TAXA DE ÁGUA PARA AS PROMOTORIAS DE JUCÁS, REF. AOS MESES DE ABRIL, MAIO E JUNHO DE 2024.</t>
  </si>
  <si>
    <t>FORNECIMENTO DE ÁGUA- TAXA DE ÁGUA PARA AS PROMOTORIAS DE LIMOEIRO DO NORTE, REF. AOS MESES DE ABRIL, MAIO E JUNHO DE 2024.</t>
  </si>
  <si>
    <t>FORNECIMENTO DE ÁGUA- TAXA DE ÁGUA PARA AS PROMOTORIAS DE MORADA NOVA, REF. AOS MESES DE ABRIL, MAIO E JUNHO DE 2024.</t>
  </si>
  <si>
    <t>FORNECIMENTO DE ÁGUA- TAXA DE ÁGUA PARA AS PROMOTORIAS DE QUIXERAMOBIM, REF. AOS MESES DE ABRIL, MAIO E JUNHO DE 2024.</t>
  </si>
  <si>
    <t>FORNECIMENTO DE ÁGUA- TAXA DE ÁGUA PARA AS PROMOTORIAS DE SOBRAL, REF. AOS MESES DE ABRIL, MAIO E JUNHO DE 2024.</t>
  </si>
  <si>
    <t>FORNECIMENTO DE ÁGUA- TAXA DE ÁGUA PARA AS PROMOTORIAS DE SOLONÓPOLE, REF. AOS MESES DE ABRIL, MAIO E JUNHO DE 2024.</t>
  </si>
  <si>
    <t>FORNECIMENTO DE ÁGUA RELATIVO AO MÊS DE ABRIL DE  2024 PARA USO DESSE MINISTÉRIO PÚBLICO DO ESTADO DO CEARÁ.</t>
  </si>
  <si>
    <t>Lei n° 14.133/2021, Art. 75 E CONTRATO Nº 035/2018.</t>
  </si>
  <si>
    <t>DISPENSA	007/2024. Lei 14.133/2021, art. 75, II, conf. Termo de Deferimento da Contratação Direta, DOMP, 1728, 08.04.2024 (EFL, 11.04.2024).</t>
  </si>
  <si>
    <t>LOCAÇÃO DE AUDITÓRIO COM ASSENTOS ACOLCHOADOS COM CAPACIDADE PARA 90 (NOVENTA) PESSOAS, PARA REALIZAÇÃO DO EVENTO SMART MP NA CIDADE DE SOBRAL-CE, NO DIA 11.04.2024, CONF. DISPENSA DE LICITAÇÃO Nº 007/2024 E ORDEM DE SERVIÇO 035/2024/ASCER.</t>
  </si>
  <si>
    <t>339039 - 14 - 2225.85</t>
  </si>
  <si>
    <t xml:space="preserve">SOBRALNET SERVICOS E TELECOMUNICACOES LTDA-ME </t>
  </si>
  <si>
    <t xml:space="preserve">PGA 09.2023.00028746-8._x000D_
Lei 14.133/2021, art. 75, I, conf. Contrato 058/2023 (EFL, 23.04.2024)_x000D_
</t>
  </si>
  <si>
    <t>Lei 8.666/93, art. 24, X._x000D_
Proc. 28264/2016-4, conf. Contrato 026/2016 (pub. DJ 1505, 18.08.206, p. 48) (EFL, 24.04.2024).</t>
  </si>
  <si>
    <t>Lei 8.666/93, art. 24, inc. X, conf. Contrato 002/2004.</t>
  </si>
  <si>
    <t xml:space="preserve">Proc.: 09.2022.00019787-6._x000D_
Lei 8.666/93, art. 24, X, conf. Contrato 002/2023 (EFL, 25.04.2024)._x000D_
</t>
  </si>
  <si>
    <t>Proc.: 09.2021.00007924-4_x000D_
Lei 8.666/93, art. 24, X, conf. Contrato 027/2021 (EFL, 25.04.2024).</t>
  </si>
  <si>
    <t>Proc.: 09.2021.00007924-4._x000D_
Lei 8.666/93, art. 24, X, conf. Contrato 027/2021 (EFL, 25.04.2024).</t>
  </si>
  <si>
    <t>Proc.: 09.2021.00021973-9_x000D_
Lei 8.666/93, art. 24, X, conf. Contrato 045/2021 (EFL, 25.04.2024).</t>
  </si>
  <si>
    <t>Proc.: 45030/2017-6._x000D_
Lei 8.666/93, art. 24, X, conf. Contrato 074/2019 (EFL, 25.04.2024).</t>
  </si>
  <si>
    <t>Proc.: 28877/2017-1._x000D_
Lei 8.666/93, art. 24, X, conf. Contrato 024/2019 (EFL, 25.04,2024).</t>
  </si>
  <si>
    <t>Lei 8.666/1993 Art.24, X, conf. Contrato 084/2019.</t>
  </si>
  <si>
    <t xml:space="preserve">Lei 14.133/2021, art. 74, III, “f”, conf. TDCD pub. DOMP 1736, 18.04.2024 (EFL, 24.04.2024)._x000D_
</t>
  </si>
  <si>
    <t xml:space="preserve">CURSO IN COMPANY, NA MODALIDADE EAD, COM O TEMA ESCRITA JURÍDICA COM O CHATGPT: TEORIA E PRÁTICA - TURMA II, CONF. TERMO DE CONTRATAÇÃO DIRETA (DOMP 1736, 18.04.2024) E ORDEM DE SERVIÇO SN/ESMP, REF. MAI E JUN/2024. </t>
  </si>
  <si>
    <t xml:space="preserve">PGA 09.2023.00024123-8._x000D_
Lei 14.133/2021, art. 75, II, conf. Contrato 029/2024 (DOMP 1731, 11.04.2024, pp. 01-02) (EFL, 24.04.2024). _x000D_
</t>
  </si>
  <si>
    <t>GREGORI FIORINI PRODUÇÕES AUDIOVISUAIS E ARTÍSTICAS LTDA</t>
  </si>
  <si>
    <t>Lei n° 14.133/2021, art. 72,  art. 74, Inciso III, alínea "f".</t>
  </si>
  <si>
    <t>CURSO MASTERCLASS DE FORMAÇÃO DE PREÇOS NAS CONTRATAÇÕES PÚBLICAS". DATA: 06/05 E 07/05. HORÁRIO: 8H ÁS 17:30H. CARGA HORÁRIA 16H, COM EDUARDO DOS SANTOS GUIMARÃES. ** PARTICIPANTE: FRANCISCO DYEGO VIEIRA RABELO  TÉCNICO MINISTERIAL  MATRÍCULA 216096-1-7.</t>
  </si>
  <si>
    <t>INSTITUTO NEGOCIOS PUBLICOS DO BRASIL - ESTUDOS E PESQUISAS NA ADMNIISTRACAO PUBLICA - INP - LTDA</t>
  </si>
  <si>
    <t>Lei 8.666/1993 Art.24 , x e Contrato nº 017/2022/PGJ.</t>
  </si>
  <si>
    <t>Lei 8.666/1993 Art.24 ,x, e Contrato nº 061/2019/PGJ.</t>
  </si>
  <si>
    <t>Lei 8.666/1993 Art.24 ,X e Contrato nº 014/2017/PGJ.</t>
  </si>
  <si>
    <t>Lei 8.666/1993 Art.24 ,X e Contrato nº 016/2017/PGJ.</t>
  </si>
  <si>
    <t>ALUGUEL DO IMÓVEL ONDE FUNCIONAM AS PROMOTORIAS DE JUSTIÇA CRIMINAIS DE FORTALEZA, EM CONSONÂNCIA COM O CONTRATO Nº 016/2017/PGJ, REF. AOS MESES DE MAIO E JUNHO DE 2024.OBS: NO EMPENHO Nº 2024NE000233 (FLS Nº 3/4),  O EMBASAMENTO LEGAL É MESMO DESTE DOCUMENTO, QUAL SEJA: LEI Nº 8666, ART, 24, X.</t>
  </si>
  <si>
    <t>FUNDO DE REAPARELHAMENTO E MODERNIZAÇÃO DO MP DO CEARÁ</t>
  </si>
  <si>
    <t>Lei 8.666/1993 Art.24 ,X  e Contrato_x000D_
nº 016/2017/PGJ.</t>
  </si>
  <si>
    <t>Lei 8.666/1993 Art.24 ,x e Contrato nº 034/2021/PGJ.</t>
  </si>
  <si>
    <t>Lei 8.666/1993 Art.24 ,x 5 e Contrato nº 051/2019/PGJ.</t>
  </si>
  <si>
    <t>Lei 8.666/1993 Art.24 , X  e Contrato 025/2023.</t>
  </si>
  <si>
    <t>Lei 8.666/1993 Art.24 , x e Contrato_x000D_
nº 033/2021/PGJ.</t>
  </si>
  <si>
    <t>Lei 8.666/1993 Art.24 ,X e Contrato nº 036/2022/PGJ.</t>
  </si>
  <si>
    <t>Lei 8.666/1993 Art.24 ,x e Contrato nº 024/2023/PGJ.</t>
  </si>
  <si>
    <t>Lei 8.666/1993 Art.24 ,x e Contrato nº 028/2022/PGJ.</t>
  </si>
  <si>
    <t>Lei 8.666/1993 Art.24 , x e Contrato nº nº 016/2022/PGJ.</t>
  </si>
  <si>
    <t>Lei 8.666/1993 Art.24 ,X e Contrato nº 011/2023/PGJ.</t>
  </si>
  <si>
    <t>Lei 8.666/1993 Art.24, x e Contrato nº 038/2021/PGJ.</t>
  </si>
  <si>
    <t>Proc. licitação: 09.2022.00040909-4._x000D_
Lei 14.133/2021, art. 74, V, conf. Contrato 041/2023 (EFL, 03.05.2024).</t>
  </si>
  <si>
    <t>Lei 8.666/1993 Art.24 , x e Contrato nº 038/2022/PGJ.</t>
  </si>
  <si>
    <t xml:space="preserve">Proc. Licitação: 09.2023.00021416-3._x000D_
Lei 14.133/2021, conf. Contrato 056/2023._x000D_
</t>
  </si>
  <si>
    <t>PGA 09.2023.00021416-3. Lei 14.133/2021,_x000D_
conf. Contrato 056/2023.</t>
  </si>
  <si>
    <t>Lei 8.666/1993 Art.24  e Contrato nº 043/2013/CPL/PGJ.</t>
  </si>
  <si>
    <t>Proc. Dispensa de Licitação: 09.2022.00034375-1._x000D_
Lei 8.666/93, art. 24, X, conf. Contrato 008/2023 (EFL, 03.05.2024).</t>
  </si>
  <si>
    <t>Lei 8.666/93, art. 24, X (Proc. Dispensa de Licitação: 67950/2016-0), conf. Contrato 008/2017 (EFL, 03.05.2024).</t>
  </si>
  <si>
    <t xml:space="preserve">Lei 8.666/93, art. 24, X. Proc. Dispensa de Licitação 09.2022.00023087-0, conf. Contrato 029/2022 (EFL, 06.05.2024)._x000D_
</t>
  </si>
  <si>
    <t>Lei 8.666/1993 Art.24 ,x  e Contrato nº 026/2027/PGJ.</t>
  </si>
  <si>
    <t xml:space="preserve">Proc. Inexigibilidade: 09.2023.00038559-0/SAJ-MPCE (DOMP 1720, 22.03.2024, pp. 09-10). Lei 14.133/2021, art. 74, I, conf. Contrato 025/2024 (EFL, 08.05.2024)._x000D_
</t>
  </si>
  <si>
    <t>GPBR PARTICIPACOES LTDA.</t>
  </si>
  <si>
    <t>Lei 8.666/1993 Art.24 , x e Contrato nº 022/2010/CPL/PGJ.</t>
  </si>
  <si>
    <t>Lei 8.666/1993 Art.24 , x e Contrato nº 025/2021/PGJ.</t>
  </si>
  <si>
    <t>Lei 8.666/1993 Art.24 , X  e Contrato nº 025/2021.</t>
  </si>
  <si>
    <t>Lei 8.666/1993 Art.24 , x  e Contrato nº 016/2017/PGJ.</t>
  </si>
  <si>
    <t>Lei 8.666/1993 Art.24 , x e Contrato nº 016/2022/PGJ.</t>
  </si>
  <si>
    <t>Lei 8.666/1993 Art.24  e Contrato nº 033/2021/PGJ.</t>
  </si>
  <si>
    <t>Lei 8.666/1993 Art.24  e Contrato nº 010/2023/PGJ.</t>
  </si>
  <si>
    <t>Lei 8.666/1993 Art.24, x e Contrato nº 022/2010/CPL/PGJ.</t>
  </si>
  <si>
    <t>Lei 8.666/1993 Art.24 ,x e Contrato nº 039/2013/PGJ.</t>
  </si>
  <si>
    <t>Lei 8.666/1993 Art.24 , x e Contrato nº 018/2022/PGJ.</t>
  </si>
  <si>
    <t>Lei 8.666/1993 Art.24 e Contrato nº 024/2022.</t>
  </si>
  <si>
    <t>Lei n° 14.133/2021 E Contrato nº 036/2023/PGJ.</t>
  </si>
  <si>
    <t>Lei 8.666/1993 Art.24 , x e Contrato nº 029/2022/PGJ.</t>
  </si>
  <si>
    <t>Lei 8.666/1993 Art.24 ,x e Contrato nº 018/2022/PGJ.</t>
  </si>
  <si>
    <t>Lei 8.666/93 Art.25,II c/c art.13 e Contrato 047/2019.</t>
  </si>
  <si>
    <t>Lei 8.666/93, art. 24, X (Proc. Dispensa de Licitação: 67950/2016-0), conf. Contrato 008/2017 (EFL, 21.05.2024).</t>
  </si>
  <si>
    <t xml:space="preserve">Proc. Inexigibilidade 09.2023.00025484-4. Lei 14.133/2021, art. 74, I, conf. Contrato 003/2024 (EFL, 22.05.2024)._x000D_
</t>
  </si>
  <si>
    <t>339040 - 78 - 3083.10</t>
  </si>
  <si>
    <t>IBM BRASIL-INDUSTRIA MAQUINAS E SERVICOS LIMITADA</t>
  </si>
  <si>
    <t xml:space="preserve">Proc. Inexigibilidade: 09.2023.00025484-4. Lei 14.133/2021, art. 74, I, conf. Contrato 003/2024 (EFL, 22.05.2024)._x000D_
</t>
  </si>
  <si>
    <t>Proc. Dispensa de Licitação: 21507/2018-9. Lei 8.666/93, art. 24, X, conf. Contrato 051/2019.</t>
  </si>
  <si>
    <t>Lei 8.666/93, art. 24, X, conf. consta no Contrato 026/2017.</t>
  </si>
  <si>
    <t>Proc. Dispensa de Licitação: 09.2023.00038881-0. Lei 14.133/2021, art. 75, IX, conf. consta no Contrato 022/2024.</t>
  </si>
  <si>
    <t>339140 - 78 - 3093.16</t>
  </si>
  <si>
    <t>Lei 8.666/1993 Art.24 , Lei nº 8.245/91, lei nº 10.406/2002 e CONTRATO DE LOCAÇÃO: 025/2023/PGJ.</t>
  </si>
  <si>
    <t>Lei 8.666/1993 Art.24 , X  e Contrato nº 011/2023.</t>
  </si>
  <si>
    <t>Lei 8.666/1993 Art.24 , X E CONTRATO Nº 024/2023.</t>
  </si>
  <si>
    <t>Lei 8.666/1993 Art.24 , X e CONTRATO DE LOCAÇÃO: 008/2023/PGJ.</t>
  </si>
  <si>
    <t>Lei 8.666/1993 Art.24 , X E CONTRATO DE LOCAÇÃO: 010/2023/PGJ.</t>
  </si>
  <si>
    <t>Lei 8.666/1993 Art.24 , X  e CONTRATO DE LOCAÇÃO: 029/2022/PGJ.</t>
  </si>
  <si>
    <t>Lei 8.666/1993 Art.24 , X E CONTRATO DE LOCAÇÃO: 018/2022/PGJ.</t>
  </si>
  <si>
    <t>Lei 8.666/1993 Art.24 ,X E CONTRATO DE LOCAÇÃO: 016/2022/PGJ.</t>
  </si>
  <si>
    <t>Lei 8.666/1993 Art.24 , X E CONTRATO DE LOCAÇÃO: 017/2022/PGJ.</t>
  </si>
  <si>
    <t>Proc. Dispensa de Licitação 09.2024.00015900-2. Lei 14.133/2021, art. 75, VIII, conf. consta no TDCD, DOE 1768, 28.05.2024, p. 04.</t>
  </si>
  <si>
    <t>339040 - 78 - 3085.14</t>
  </si>
  <si>
    <t>ARKLOK - EQUIPAMENTOS DE INFORMÁTICA S.A,</t>
  </si>
  <si>
    <t>Lei 8.666/1993 Art.24 ,X E CONTRATO DE LOCAÇÃO: 012/2022/PGJ.</t>
  </si>
  <si>
    <t>Lei 8.666/1993 Art.24 , X E CONTRATO DE LOCAÇÃO: 011/2022/PGJ.</t>
  </si>
  <si>
    <t>Lei 8.666/1993 Art.24 , X E CONTRATO DE LOCAÇÃO: 010/2022/PGJ.</t>
  </si>
  <si>
    <t>Proc. Dispensa de Licitação: 09.2021.00006419-5. Lei 8.666/93, art. 24, inc. X, conf. consta no extrato do Contrato 041/2021 (DOE 1143, 22.10.2021, pp. 21-22).</t>
  </si>
  <si>
    <t>Proc. Dispensa de Licitação: 09.2021.00006322-0. Lei 8.666/93, art. 24, X, conf. consta no Contrato 033/2021.</t>
  </si>
  <si>
    <t>Proc. Inexigibilidade: 09.2024.00012212-6. Lei 14.133/2021, art. 74, III, “f”, conf. Contrato 034/2024.</t>
  </si>
  <si>
    <t xml:space="preserve">SERH SERVIÇOS ESPECIALIZADOS EM REC HUMANOS SS LTDA </t>
  </si>
  <si>
    <t>Lei 8.666/1993 Art.24 , X E CONTRATO 038/2021.</t>
  </si>
  <si>
    <t>Lei 8.666/1993 Art.24 , X E CONTRATO DE LOCAÇÃO: 048/2019/PGJ.</t>
  </si>
  <si>
    <t>Lei 8.666/1993 Art.24 , X E CONTRATO DE LOCAÇÃO: 002/2023/PGJ.</t>
  </si>
  <si>
    <t>Lei 8.666/1993 Art.24 , X E CONTRATO Nº 016/2017/PGJ.</t>
  </si>
  <si>
    <t>Lei 8.666/1993 Art.24 , X E CONTRATO DE LOCAÇÃO: 014/2017/PGJ.</t>
  </si>
  <si>
    <t>Lei n° 14.133/2021 E CONTRATO DE LOCAÇÃO: 054/2023/PGJ.</t>
  </si>
  <si>
    <t>Proc. Dispensa de Licitação: 09.2023.00038881-0. Lei 14.133/2021, art. 75, IX, conf. Contrato 022/2024.</t>
  </si>
  <si>
    <t>Lei 8.666/93, art. 25, inc. I. Proc. Inexigibilidade 29030/2017-6, conf. consta no Contrato 031/2018.</t>
  </si>
  <si>
    <t>Lei 8.666/93, art. 24, X (Proc. Dispensa de Licitação: 67950/2016-0), conf. consta no Contrato 008/2017.</t>
  </si>
  <si>
    <t>Proc. Dispensa de Licitação: 13209/2013-3. Lei 8.666/93, art. 24, X, conf. consta no Contrato 043/2013.</t>
  </si>
  <si>
    <t>Proc. Dispensa de Licitação: 1460/2013-6. Lei 8.666/93, art. 24, X, conf. consta no Contrato 039/2013.</t>
  </si>
  <si>
    <t>Proc. Dispensa de Licitação: 5759/2010-3. Lei 8.666/93, art. 24, X, conf. consta no Contrato 022/2010.</t>
  </si>
  <si>
    <t>Proc. Dispensa de Licitação: 28877/2017-1._x000D_
Lei 8.666/93, art. 24, X, conf. consta no Contrato 024/2019.</t>
  </si>
  <si>
    <t>Proc. Dispensa de Licitação: 19552/201-7._x000D_
Lei 8.666/93, art. 24, X, conf. consta no Contrato 085/2019.</t>
  </si>
  <si>
    <t xml:space="preserve">Proc. Dispensa de Licitação: 20048/2019-3 (DOMP 0706, 19.12.2019, p. 13)._x000D_
Lei 8.666/93, art. 24, X, conf. consta no Contrato 084/2019._x000D_
</t>
  </si>
  <si>
    <t>Proc. Dispensa de Licitação: 21507/2018-9_x000D_
Lei 8.666/93, art. 24, X, conf. consta no Contrato 051/2019.</t>
  </si>
  <si>
    <t>Proc. Dispensa de Licitação: 45030/2017-6._x000D_
Lei 8.666/93, art. 24, X, conf. consta no Contrato 074/2019.</t>
  </si>
  <si>
    <t>Proc. Dispensa de Licitação: 09.2022.00026419-3._x000D_
Lei 8.666/93, art. 24, X, conf. consta no Contrato 028/2022.</t>
  </si>
  <si>
    <t>Proc. Dispensa de Licitação: 36428/2016-5._x000D_
Lei 8.666/93, art. 24, X, conf. consta no Contrato 026/2017.</t>
  </si>
  <si>
    <t>Proc. Dispensa de Licitação: 09.2021.00016679-0._x000D_
Lei 8.666/93, conf. Contrato 024/2022.</t>
  </si>
  <si>
    <t>Proc. Dispensa de Licitação: 09.2021.00012122-6._x000D_
Lei 8.666/93, art. 24, X, conf. consta no Contrato 034/2021.</t>
  </si>
  <si>
    <t>Lei 14.133/2021, art. 75, II, conf. TDCD DOMP 1752, 08.05.2024, p. 08 (EFL, 14.05.2024).</t>
  </si>
  <si>
    <t>EMPENHO REF. PRESTAÇÃO DE SERVIÇO DE MASSOTERAPIA NO DIA 17/05/2024, DAS 9H00 ÀS 16H00, POR OCASIÃO DO EVENTO "INTEGRA MP DIA DAS MÃES", EM 06 (SEIS) POSTOS DE ATENDIMENTO, POR MEIO DISPENSA ELETRÔNICA, CONF. TERMO DE DEFERIMENTO DA CONTRATAÇÃO DIRETA PUB. DOMP 1752 DE 08.05.2024 E ORDEM DE SERVIÇO 009/2024/SEGEP.</t>
  </si>
  <si>
    <t>LILIA ALVES DA SILVA</t>
  </si>
  <si>
    <t>Lei 14.133/2021, art. 75, II, conf. TDCD DOMP 1752, 08.05.2024, pp. 07-08 (EFL, 14.05.2024).</t>
  </si>
  <si>
    <t xml:space="preserve">EMPENHO REF. PRESTAÇÃO DE SERVIÇO DE PILATES EM DOIS POSTOS DE ATENDIMENTO, NOS DIAS 15 E 16/05/2024, POR OCASIÃO DO EVENTO "INTEGRA MP DIA DAS MÃES", POR MEIO DE DISPENSA ELETRÔNICA, CONF. TERMO DE DEFERIMENTO DA CONTRATAÇÃO DIRETA PUB. DOMP 1752 DE 08.05.2024 E ORDEM DE SERVIÇO 010/2024/SEGEP. </t>
  </si>
  <si>
    <t xml:space="preserve">YO FITNESS LTDA </t>
  </si>
  <si>
    <t>Lei 14.133/2021, art. 75, II, conf. TDCD DOMP 1734, 16.04.2024, p. 01 (EFL, 14.05.2024).</t>
  </si>
  <si>
    <t>EMPENHO REF. FORNECIMENTO DE MATERIAIS E INSUMOS DE USO HOSPITALAR (ROTINAS BÁSICAS), POR MEIO DA DISPENSA ELETRÔNICA 008/2024, CONF. TERMO DE DEFERIMENTO DA CONTRATAÇÃO DIRETA PUB. DOMP 1734 DE 16.04.2024 , ORDEM DE COMPRA Nº 001/2024/SEGEP E DISPENSA DE LICITAÇÃO Nº 08/2024.</t>
  </si>
  <si>
    <t>339030 - 1 - 1874.09</t>
  </si>
  <si>
    <t>PANORAMA COMÉRCIO DE PRODUTOS MÉDICOS E FARMACÊUTICOS LTDA</t>
  </si>
  <si>
    <t>EMPENHO REF. FORNECIMENTO DE MATERIAIS E INSUMOS DE USO HOSPITALAR (ROTINAS BÁSICAS), POR MEIO DA DISPENSA ELETRÔNICA 008/2024, CONF. TERMO DE DEFERIMENTO DA CONTRATAÇÃO DIRETA PUB. DOMP 1734 DE 16.04.2024 E ORDEM DE COMPRA Nº 002/2024/SEGEP.</t>
  </si>
  <si>
    <t>PROHOSPITAL COMERCIO HOLANDA LTDA</t>
  </si>
  <si>
    <t>FORNECIMENTO DE ÁGUA RELATIVO AOS MESES DE MAIO E JUNHO DE 2024 PARA USO DESSE MINISTÉRIO PÚBLICO DO ESTADO DO CEARÁ.</t>
  </si>
  <si>
    <t>Lei nº 14.133/21 ,arts. 6º, XXIII e 40, §1º, Dispensa de licitação nº 013/2024 e ORDEM DE SERVIÇO nº 001/2024.</t>
  </si>
  <si>
    <t>REFERENTE A AQUISIÇÃO DE CARTÕES DE IDENTIFICAÇÃO FUNCIONAL, NO MODELO JÁ PADRONIZADO PELA PGJ/CE, PARA USO POR PARTE DE MEMBROS DO MINISTÉRIO PÚBLICO DO CEARÁ, CONF.  DISPENSA DE LICITAÇÃO Nº 013/2024 E ORDEM DE SERVIÇO Nº 001/2024.</t>
  </si>
  <si>
    <t>ALUPLAQ INDUSTRIA COMERCIO E REPRESENTACOES LTDA</t>
  </si>
  <si>
    <t xml:space="preserve">DISPENSA 005/2023 (DOE 1527, 26/05/2023, pp. 01). Lei 8.666/93, art. 24, XXII, conf. Contrato 449/2023 (EFL, 17.05.2024)._x000D_
</t>
  </si>
  <si>
    <t>Lei n° 14.133/2021, Art. 74, III, alínea "f", art. 72, VIII, inexigibilidade.</t>
  </si>
  <si>
    <t>REFERENTE A CONTRATAÇÃO DE SERVIÇOS DE UM WORKSHOP IN COMPANY REALIZADO PELA EMPRESA MARILIA FIUZA TARGINO EPP. COM O TEMA PROGRAMA LÍDER EM TRANSFORMAÇÃO, VISANDO A CAPACITAÇÃO DE MEMBRO(S) RECÉM - INGRESSO(S) NA CARREIRA DO MINISTÉRIO PÚBLICO DE ESTADO DO CEARÁ, NO DIA 20 DE JUNHO DE 2024, COM CARGA HORÁRIA DE08H/A, NAS DEPENDÊNCIAS DA PROCURADORIA-GERAL DE JUSTIÇA. (INEXIGIBILIDADE).</t>
  </si>
  <si>
    <t>MARILIA  FIUZA  TARGINO  EPP</t>
  </si>
  <si>
    <t>Lei 14.133/2021, art. 74, III, “f”, conf. TERMO DE DEFERIMENTO DA CONTRATAÇÃO DIRETA (PGA 09.2024.00013050-4, DOMP DOMP 1770, 31.05.2024, p. 02)</t>
  </si>
  <si>
    <t>EMPENHO REF. AQUISIÇÃO DE 05 (CINCO) INSCRIÇÕES EM UM CURSO DENOMINADO TRIBUNAIS SUPERIORES: TEORIA E PRÁTICA, NO FORMATO ASSÍNCRONO (GRAVADO) - COMPOSTO POR 13 (TREZE) AULAS, COM DURAÇÃO DE 1H15 (CADA), DIVIDIDAS EM 3 MÓDULOS: INTRODUTÓRIO, DOGMÁTICO E PRÁTICO -, POR MEIO DE INEXIGIBILIDADE DE LICITAÇÃO, CONF. TRCD PÚB. DOMP 1770, DE 31.05.2024, E ORDEM DE SERVIÇO S/N/ESMP.</t>
  </si>
  <si>
    <t>IBCCRIM INST BRAS CIENC CRIMINAIS</t>
  </si>
  <si>
    <t>Lei 14.133/2021, art. 74, III, “f”, conf. TERMO DE DEFERIMENTO DA CONTRATAÇÃO DIRETA (PGA 09.2024.00015521-7, DOMP 1775, 07.06.2024, p. 02)</t>
  </si>
  <si>
    <t>EMPENHO REF. AQUISIÇÃO PRESTAÇÃO DE SERVIÇOS DE UM CURSO DE DE PRESTAÇÃO DE SERVIÇOS DE UM CURSO DE MEDIAÇÃO DE CONFLITOS E COMUNICAÇÃO NÃO VIOLENTA NOS CONTEXTOS FAMILIARES REALIZADO PELA PROFESSORA RAQUELDE MESQUITA RODRIGUES, VISANDO A CAPACITAÇÃO DE MEMBROS E SERVIDORES DOMINISTÉRIO PÚBLICO DE ESTADO DO CEARÁ, NO DIA 12 DE JUNHO DE 2024, COM CARGA HORÁRIA DE 04H/A, NAS DEPENDÊNCIAS DA ESCOLA SUPERIOR DO MINISTÉRIO PÚBLICO.</t>
  </si>
  <si>
    <t>RACHEL DE MESQUITA RODRIGUES</t>
  </si>
  <si>
    <t>EMPENHO REF. CONTRATAÇÃO DA MICROEMPRESA VANNICK DE SOUZA BELCHIOR ME., PARA APRESENTAÇÃO MUSICAL DA ARTISTA VANNICK BELCHIOR, PARA SHOW MUSICAL TRIBUTO A BELCHIOR, COM REPERTÓRIO DE OBRAS DO CANTOR BELCHIOR, PARA A ABERTURA DO EVENTO CONGRESSO ESTADUAL DO MINISTÉRIO PÚBLICO, PARA MEMBROS, SERVIDORES E COLABORADORES DO MINISTÉRIO PÚBLICO E CONVIDADOS, NO DIA 27 DE JUNHO DE 2024, ÀS 19:00H, NO TEATRO RACHEL DE QUEIROZ, NA CIDADE DE GUARAMIRANGA/CE.</t>
  </si>
  <si>
    <t>339039 - 14 - 2197.55</t>
  </si>
  <si>
    <t xml:space="preserve">VANNICK BELCHIOR EVENTOS </t>
  </si>
  <si>
    <t>Lei 14.133/2021, art. 74, III, “f”, conf. TDCD pub. DOMP 1776, 10.06.2024, p. 01).</t>
  </si>
  <si>
    <t>EMPENHO REF. AQUISIÇÃO DE 07 (SETE) INSCRIÇÕES NO 2º CONGRESSO BRASILEIRO DA 14.133/2024, COM CARGA HORÁRIA DE 16H/A, A OCORRER NOS DIAS 12 A 14.06.2024, NO HOTEL GRAN MAREIRO, EM FORTALEZA-CE, CONF. TDCD DOMP 1776 E ORDEM DE SERVIÇO S/N/2024/ESMP.</t>
  </si>
  <si>
    <t>INSTITUTO PARTNER LTDA</t>
  </si>
  <si>
    <t>Lei 14.133/2021, art. 74, II.</t>
  </si>
  <si>
    <t>EMPENHO REF. FORNECIMENTO DE ENERGIA ELÉTRICA EM ALTA TENSÃO A DIVERSAS UNIDADES MINISTERIAIS, POR MEIO DE INEXIGIBILIDADE DE LICITAÇÃO, REF. ABR, MAI E JUN/2024, POR ESTIMATIVA.</t>
  </si>
  <si>
    <t>EMPENHO REF. FORNECIMENTO DE ENERGIA ELÉTRICA EM BAIXA TENSÃO A DIVERSAS UNIDADES MINISTERIAIS, POR MEIO DE INEXIGIBILIDADE DE LICITAÇÃO, REF. ABR, MAI E JUN/2024, POR ESTIMATIVA.</t>
  </si>
  <si>
    <t>Proc. Dispensa de Licitação: 09.2021.00007924-4._x000D_
Lei 8.666/93, art. 24, X, conf. consta no Contrato 027/2021.</t>
  </si>
  <si>
    <t>Lei 8.666/1993 Art.24 , X e contrato nº 045/2021/PGJ.</t>
  </si>
  <si>
    <t>Lei 8.666/1993 Art.24 , x e contrato nº045/2021/PGJ.</t>
  </si>
  <si>
    <t>Lei 8.666/1993 Art.24 , x e contrato nº 045/2021/PGJ.</t>
  </si>
  <si>
    <t>Proc. Dispensa de Licitação: 09.2021.00021973-9._x000D_
Lei 8.666/93, art. 24, X, conf. consta no Contrato 045/2021.</t>
  </si>
  <si>
    <t>Lei 8.666/1993 Art.24 , e CONTRATO: 016/2017/PGJ</t>
  </si>
  <si>
    <t>Proc. Dispensa de Licitação: 09.2021.00015501-6._x000D_
Lei 8.666/93, art. 24, X, conf. consta no Contrato 026/2021.</t>
  </si>
  <si>
    <t>Lei n° 14.133/2021, Art. 74 E CONTRATO DE LOCAÇÃO: 056/2023/PGJ.</t>
  </si>
  <si>
    <t>Lei n° 14.133/2021, Art. 74 E CONTRATO DE LOCAÇÃO: 044/2023/PGJ.</t>
  </si>
  <si>
    <t>Proc. Dispensa de Licitação: 09.2021.00004780-8._x000D_
Lei 8.666/93, art. 24, X, conf. consta no Contrato 025/2021.</t>
  </si>
  <si>
    <t>Proc. Dispensa de Licitação: 09.2022.00034381-8._x000D_
Lei 8.666/93, art. 24, X, conf. consta no Contrato 024/2023.</t>
  </si>
  <si>
    <t>Proc. Dispensa de Licitação: 09.2022.00027614-5._x000D_
Lei 8.666/93, art. 24, X, conf. consta no Contrato 036/2022.</t>
  </si>
  <si>
    <t>Proc. Dispensa de Licitação: 09.2022.00009129-6._x000D_
Lei 8.666/93, art. 24, X, conf. consta no Contrato 033/2022.</t>
  </si>
  <si>
    <t>Proc. Inexigibilidade: 09.2024.00013208-0 (DOMP 1769, 29.05.2024, P. 02 e DOMP 1774, 06.06.2024, pp. 03 e 04)._x000D_
Lei 14.133/2021, art. 74, I, conf. consta no Contrato 040/2024.</t>
  </si>
  <si>
    <t>Proc. Dispensa de Licitação: 23300/2019-5._x000D_
Lei 8.666/93, art. 24, X, conf. consta no Contrato 061/2019.</t>
  </si>
  <si>
    <t>Proc. Dispensa de Licitação 09.2023.00028746-8._x000D_
Lei 14.133/2021, art. 75, I, conf. consta no Contrato 058/2023.</t>
  </si>
  <si>
    <t>339140 - 78 - 3078.04</t>
  </si>
  <si>
    <t>Proc. Dispensa de Licitação 09.2024.00012037-2._x000D_
Lei 14.133/2021, art. 75, XV, conf. consta no Contrato 041/2024.</t>
  </si>
  <si>
    <t>339039 - 14 - 2224.83</t>
  </si>
  <si>
    <t>INSTITUTO EUVALDO LODI NUCLEO DO CEARA</t>
  </si>
  <si>
    <t>Proc. Dispensa de Licitação 09.2021.00034997-4._x000D_
Lei 8.666/93, art. 24, XVI, conf. consta no Contrato 001/2022.</t>
  </si>
  <si>
    <t>Proc. Dispensa de Licitação: 8422/2017-0._x000D_
Lei 8.666/93, art. 24, X, conf. consta no Contrato 016/2017.</t>
  </si>
  <si>
    <t>Lei 8.666/93 Art.25 - Caput, 4º Aditivo ao Contrato nº 002/2021/PGJ.</t>
  </si>
  <si>
    <t>Lei n° 14.133/2021, Art. 74, Contrato nº 015/2023.</t>
  </si>
  <si>
    <t>Proc. Dispensa de Licitação 09.2023.00011736-3._x000D_
Lei 14.133/2021, art. 75, IX, conf. consta no Contrato 032/2023.</t>
  </si>
  <si>
    <t>Lei 8.666/1993 Art.24  e Contrato nº 006/2020.</t>
  </si>
  <si>
    <t>339140 - 78 - 2488.02</t>
  </si>
  <si>
    <t>Proc. Dispensa de Licitação: 09.2023.00038881-0._x000D_
Lei 14.133/2021, art. 75, IX, conf. consta no Contrato 022/2024.</t>
  </si>
  <si>
    <t>Lei 8.666/1993 Art.24 E CONTRATO Nº 038/2022.</t>
  </si>
  <si>
    <t>Lei 8.666/1993 Art.24 , XVI E CONTRATO Nº 023/2022.</t>
  </si>
  <si>
    <t>Lei n° 14.133/2021, Art. 75, IX E CONTRATO Nº 032/2023.</t>
  </si>
  <si>
    <t>Lei n° 14.133/2021, Art. 74, I E CONTRATO Nº 042/2024.</t>
  </si>
  <si>
    <t>339040 - 78 - 3093.16</t>
  </si>
  <si>
    <t>Lei n° 14.133/2021, Art. 74, I e Contrato nº 042/2024.</t>
  </si>
  <si>
    <t>Lei n° 14.133/2021, Art. 74, I E CONTRATO Nº 059/2023.</t>
  </si>
  <si>
    <t>Lei 8.666/93 Art.25 - Caput E CONTRATO Nº 009/2022.</t>
  </si>
  <si>
    <t>Lei 8.666/1993 Art.24 , II E CONTRATO Nº 028/2020.</t>
  </si>
  <si>
    <t>Lei n° 14.133/2021, Art. 74,III,C e Contrato nº 015/2023.</t>
  </si>
  <si>
    <t>Lei 8.666/1993 Art.24  E CONTRATO Nº 025/2023.</t>
  </si>
  <si>
    <t>Lei 8.666/1993 Art.24 , inciso VIII</t>
  </si>
  <si>
    <t>Lei 14.133/2021, art. 74, caput, conf. consta no TERMO DE DEFERIMENTO DA CONTRATAÇÃO DIRETA (pub. DOMP 1781, 17/06/2024, P. 02).</t>
  </si>
  <si>
    <t>EMPENHO REF. CONTRIBUIÇÃO ANUAL DO COLÉGIO DE DIRETORES DE ESCOLAS E CENTROS DE ESTUDOS E APERFEIÇOAMENTO FUNCIONAL DOS MINISTÉRIOS PÚBLICOS DO BRASIL-CDEMP, POR INEXIGILIDADE DE LICITAÇÃO, CONF. TDCD DOMP 1781 E ORDEM DE SERVIÇO SN/ESMP, REF. 2024.</t>
  </si>
  <si>
    <t>339039 - 14 - 2234.94</t>
  </si>
  <si>
    <t>CDEMP</t>
  </si>
  <si>
    <t>Proc. Inexigibilidade: 09.2024.00020700-0._x000D_
Lei 14.133/2021, art. 74, caput, conf. consta no TERMO DE DEFERIMENTO DA CONTRATAÇÃO DIRETA (fls. 02).</t>
  </si>
  <si>
    <t>EMPENHO REF. LOCAÇÃO DE AUDITÓRIO, PARA REALIZAÇÃO DO CONGRESSO ESTADUAL DO MINISTÉRIO PÚBLICO, POR INEXIGIBILIDADE DE LICITAÇÃO, CONF. ORDEM DE SERVIÇO SN/2024/ESMP, REF. 25-28/JUN/2024.</t>
  </si>
  <si>
    <t>INST FED DE EDUC CIENC TECNOL DO CEARA</t>
  </si>
  <si>
    <t>DISPENSA ELETRÔNICA 014/2024._x000D_
Lei 14.133/2021, art. 75, II, conf. consta no Aviso de Contratação Direta 90014/2024.</t>
  </si>
  <si>
    <t>EMPENHO REF. UTENSÍLIOS DE COPA E COZINHA, CONF. DISPENSA ELETREÔNICA 014/2024 E ORDEM DE COMPRA 070/2024/SEAD.</t>
  </si>
  <si>
    <t>339030 - 1 - 1885.24</t>
  </si>
  <si>
    <t>ALPHA THERA DISTRIBUIDORA LTDA</t>
  </si>
  <si>
    <t>Lei n° 14.133/2021, art. 75, II-  Dispensa.</t>
  </si>
  <si>
    <t>REFERENTE A SOLICITAÇÃO PARA CONTRATAÇÃO, ATRAVÉS DE DISPENSA ELETRÔNICA, DE AMBULÂNCIA PARA ATENDER O CONGRESSO ESTADUAL DO MINISTÉRIO PÚBLICO DO CEARÁ.</t>
  </si>
  <si>
    <t>339039 - 14 - 2161.22</t>
  </si>
  <si>
    <t>DPR SERVIÇOS DE SAUDE LTDA</t>
  </si>
  <si>
    <t>TAXA DE ÁGUA PARA AS PROMOTORIAS DE CANINDÉ, REF. AO MÊS DE JULHO DE 2024.</t>
  </si>
  <si>
    <t>FORNECIMENTO DE ÁGUA PARA A PROMOTORIA DE JUSTIÇA DE BREJO SANTO, REF. JULHO À SETEMBRO/2024, POR ESTIMATIVA.</t>
  </si>
  <si>
    <t>FORNECIMENTO DE ÁGUA PARA A PROMOTORIA DE JUSTIÇA DE JARDIM, REF. JULHO À SETEMBRO/2024, POR ESTIMATIVA.</t>
  </si>
  <si>
    <t>FORNECIMENTO DE ÁGUA PARA A PROMOTORIA DE JUSTIÇA DE LIMOEIRO DO NORTE, REF. JULHO/2024.</t>
  </si>
  <si>
    <t>FORNECIMENTO DE ÁGUA PARA A PROMOTORIA DE JUSTIÇA DE JUCÁS, REF. JULHO/2024.</t>
  </si>
  <si>
    <t>EMPENHO REF. FORNECIMENTO DE ÁGUA PARA A PROMOTORIA DE JUSTIÇA DE GRANJA-CE, POR INEXIGIBILIDADE DE LICITAÇÃO, REF. JUL, AGO E SET/2024, POR ESTIMATIVA.</t>
  </si>
  <si>
    <t>EMPENHO REF. FORNECIMENTO DE ÁGUA PARA A PROMOTORIA DE JUSTIÇA DE ICÓ-CE, POR MEIO DE INEXIGIBILIDADE DE LICITAÇÃO, REF. JUL, AGO E SET/2024, POR ESTIMATIVA</t>
  </si>
  <si>
    <t>SERVIÇOS DE ÁGUA E ESGOTO PARA AS PROMOTORIAS DO CRATO, REF. AO MÊS DE JULHO DE 2024.</t>
  </si>
  <si>
    <t>EMPENHO REF. FORNECIMENTO DE ÁGUA DE IMÓVEL SITUADO NO IGUATU, ONDE FUNCIONA SEDE DE PROMOTORIA DE JUSTIÇA DAQUELA COMARCA, REF. JUL, AGO E SET/2024, POR ESTIMATIVA.</t>
  </si>
  <si>
    <t>SERVIÇOS DE ÁGUA E ESGOTO PARA AS PROMOTORIAS DE JAGUARIBE, REF. AOS MESES DE JULHO À SETEMBRO DE 2024.</t>
  </si>
  <si>
    <t>SERVIÇOS DE ÁGUA E ESGOTO PARA AS PROMOTORIAS DE MORADA NOVA, REF. AOS MESES DE JULHO À SETEMBRO DE 2024.</t>
  </si>
  <si>
    <t>EMPENHO REF. FORNECIMENTO DE ÁGUA DE IMÓVEL SITUADO EM ITAPAJÉ-CE, ONDE FUNCIONA SEDE DE PROMOTORIA DE JUSTIÇA DAQUELA COMARCA, REF. JUL, AGO E SET/2024, POR ESTIMATIVA.</t>
  </si>
  <si>
    <t>EMPENHO REF. FORNECIMENTO DE ÁGUA PARA IMÓVEL SITUADO EM QUIXERAMOBIM-CE, ONDE FUNCIONA SEDE DE PROMOTORIA DE JUSTIÇA DAQUELA COMARCA, REF. JUL, AGO E SET/2024, POR ESTIMATIVA.</t>
  </si>
  <si>
    <t>EMPENHO REF. FORNECIMENTO DE ÁGUA DE IMÓVEL SITUADO EM SOBRAL-CE, ONDE FUNCIONA SEDE DE PROMOTORIA DE JUSTIÇA DAQUELA COMARCA, REF. JUL, AGO E SET/2024, POR ESTIMATIVA.</t>
  </si>
  <si>
    <t>EMPENHO REF. FORNECIMENTO DE ÁGUA E ESGOTO REF. JUL/2024, POR ESTIMATIVA.</t>
  </si>
  <si>
    <t>EMPENHO REF. FORNECIMENTO DE ÁGUA PARA A SEDE DE PROMOTORIA DE JUSTIÇA DA COMARCA DE SOLONÓPOLE, REF. JUL, AGO E SET/2024, POR ESTIMATIVA.</t>
  </si>
  <si>
    <t>Lei n° 14.133/2021, Art. 74, II, alínea "f" e Ordem de Serviço nº 012/2024.</t>
  </si>
  <si>
    <t>INSCRIÇÃO EM CURSO DE CAPACITAÇÃO: CURSO BÁSICO DE INVENTÁRIO FÍSICO PATRIMONIAL E DE ALMOXARIFADO- ( 02 INSCRIÇÕES PARA SERVIDORES: 1-GUILHERME VINICIUS DUETE CAVALCANTE E 2-EMÍLIA VANELI DE OLIVEIRA), CONF. ORDEM DE SERVIÇO Nº 012/2024 - MODALIDADE PRESENCIAL, A OCORRER EM FLORIANÓPLIS -SC, NO PERÍODO DE 28 A 30 DE AGOSTO. (ATIVIDADE OBRIGATÓRIA, FISCALIZADA PELOS ÓRGÃO DE CONTROLE EXTERNO, CONF. ATO NORMATIVO Nº 202/2021).</t>
  </si>
  <si>
    <t>GERSON DOS SANTOS TREINAMENTOS</t>
  </si>
  <si>
    <t>Número do Processo</t>
  </si>
  <si>
    <t>Proc. Dispensa de Licitação 30725/2019-4._x000D_
Lei 8.666/93, conf. consta no Contrato 006/2020 (DOMP 0751, 09.03.2020, pp. 01-02).</t>
  </si>
  <si>
    <t>Proc. Dispensa de Licitação: 8422/2017-0. Lei 8.666/93, art. 24, X, conf. consta no Contrato 016/2017.</t>
  </si>
  <si>
    <t xml:space="preserve">Edital de Chamamento Público 003/2021. Lei 8.666/93, art. 24, X, conf. consta no Contrato 038/2021. </t>
  </si>
  <si>
    <t>DISPENSA ELETRÔNICA 019/2024. Lei 14.133/2021, art. 75, II, conf. consta no Aviso de Contratação Direta 90019/2024 (Homologação: DOMP 1799, 10.07.2024).</t>
  </si>
  <si>
    <t>EMPENHO REF. AQUISIÇÃO DE 05 (CINCO) FRAGMENTADORAS MODELO FG-0317, CONF. DISPENSA ELETRÔNICA 019/2024 (DOM 1799, 10.07.2024) E ORDEM DE COMPRA 073/2024/SEAD.</t>
  </si>
  <si>
    <t>449052 - 2 - 1955.57</t>
  </si>
  <si>
    <t>ALEXANDRO MAURO DE ANDRADE</t>
  </si>
  <si>
    <t>Proc. Inexigibilidade: 09.2023.00028794-6. Lei 14.133/2021, art. 74, I, conf. consta no Contrato 059/2023.</t>
  </si>
  <si>
    <t>339039 - 14 - 2166.27</t>
  </si>
  <si>
    <t xml:space="preserve">Lei 8.666/93, art. 24, XVI, conf. consta no Contrato 023/2022._x000D_
</t>
  </si>
  <si>
    <t>Lei 8.666/1993 Art.24 , X e Contrato nº 048/2019.</t>
  </si>
  <si>
    <t>Proc. Dispensa de Licitação 09.2021.00034997-4. Lei 8.666/93, art. 24, XVI, conf. consta no Contrato 001/2022.</t>
  </si>
  <si>
    <t>339140 - 78 - 2502.06</t>
  </si>
  <si>
    <t>Proc. Dispensa de Licitação 5175/2019-3. Lei 8.666/93, conf. consta no Contrato 045/2019.</t>
  </si>
  <si>
    <t>PORTO SEGURO COMPANHIA DE SEGUROS GERAIS</t>
  </si>
  <si>
    <t>Proc. Inexigibilidade: 09.2023.00038559-0/SAJ-MPCE (DOMP 1720, 22.03.2024, pp. 09-10). Lei 14.133/2021, art. 74, I, conf. consta no Contrato 025/2024.</t>
  </si>
  <si>
    <t>Proc. Dispensa de Licitação: 09.2021.00021973-9. Lei 8.666/93, art. 24, X, conf. consta no Contrato 045/2021.</t>
  </si>
  <si>
    <t>Proc. Dispensa de Licitação: 09.2021.00007924-4. Lei 8.666/93, art. 24, X, conf. consta no Contrato 027/2021.</t>
  </si>
  <si>
    <t>Proc. Inexigibilidade de Licitação: 09.2024.00017397-0. Lei 14.133/2021, art. 74, V, conf. consta no Contrato 044/2024.</t>
  </si>
  <si>
    <t>COSTA CONTABILIDADE PROCESS E ASSESSORIA</t>
  </si>
  <si>
    <t>Proc. Inexigibilidade: 09.2024.00016233-0 (DOMP 1814, 31.07.2024, p. 01). Lei 14.133/2021, art. 74, I, conf. consta no TDCD, bem como no Contrato 045/2024.</t>
  </si>
  <si>
    <t>VERIFACT TECNOLOGIA LTDA</t>
  </si>
  <si>
    <t>Lei 14.133/2021, art. 74, III, “f”, conf. consta no Termo de Deferimento da Contratação Direta de 04/07/2024 (DOMP 1797, 08/07/2024, pp. 01-02).</t>
  </si>
  <si>
    <t>EMPENHO REF. 01 (UMA) INSCRIÇÃO NO "CURSO DE ACESSIBILIDADE A EDIFICAÇÕES, MOBILIÁRIO, ESPAÇOS E EQUIPAMENTOS URBANOS - INTERPRETAÇÃO DA ABNT NBR 9050:2020 - TURMA 9867", A OCORRER NOS DIAS 09 A 16/09/2024, NA MODALIDADE ON-LINE, POR INEXIGIBILIDADE DE LICITAÇÃO, CONF. TDCD PUB. DOMP 1797 (08.07.2024).   PARTICIPANTE (COLABORADOR) BENEFICIADO:PAULO ROGERIO ABREU DE ALBUQUERQUE  ÁREA ARQUITETURA.</t>
  </si>
  <si>
    <t>ASSOCIAÇAO BRASILEIRA DE NORMAS TECNICAS ABNT</t>
  </si>
  <si>
    <t>Lei 14.133/2021, art. 74, III, conf. consta do TERMO DE DEFERIMENTO DA CONTRATAÇÃO DIRETA pub. no DOMP 1800, 11.07.2024.</t>
  </si>
  <si>
    <t>EMPENHO REF. INSCRIÇÃO DE 02 (DOIS) SERVIDORES NO CURSO DE GESTÃO, MONITORAMENTO E AVALIAÇÃO DO MROSC  DECRETO Nº 11.948/24, A REALIZAR-SE NOS DIAS 07 E 08.08.2024, NA MODALIDADE ON LINE, POR INEXIGIBILIDADE DE LICITAÇÃO, CONF. TDCD PUB. NO DOMP 1800, DE 11.07.2024.PARTICIPANTES BENEFICIADOS:TIAGO DA SILVA FREITAS  ÁREA CONTABILIDADEPEDRO HENRIQUE DOS SANTOS SILVA  ÁREA CONTABILIDADE.</t>
  </si>
  <si>
    <t>ORZIL CONSULTORIA E TREINAMENTO LTDA</t>
  </si>
  <si>
    <t>DISPENSA ELETRÔNICA 010/2024 (DOMP 1783, 19.06.2024, p. 05). Lei 14.133/2021, art. 75, II, conf. consta no Aviso de Contratação Direta 90010/2024.</t>
  </si>
  <si>
    <t>EMPENHO REF. CONFECÇÃO E FORNECIMENTO DE 500 (QUINHENTAS) CAPAS DE TERMO DE POSSE, CONF. DISPENSA ELETRÔNICA 010/2024 ITEM 01 E ORDEM DE SERVIÇO 068/2024/ASCER.</t>
  </si>
  <si>
    <t>339032 - 20 - 2268.12</t>
  </si>
  <si>
    <t>49.470.635 ANGELA MARIA CHIQUIM</t>
  </si>
  <si>
    <t>EMPENHO REF. CONFECÇÃO E FORNECIMENTO DE 500 (QUINHENTAS) CAPAS DE TERMO DE POSSE, CONF. DISPENSA ELETRÔNICA 010/2024 ITEM 02 E ORDEM DE SERVIÇO 077/2024/ASCER.</t>
  </si>
  <si>
    <t>Lei 14.133/2021, art. 75, II, conf. consta no TERMO DE DEFERIMENTO DA CONTRATAÇÃO DIRETA do PGA 09.2024.00005516-4 (DOMP 1804, 17.07.2024, p. 134).</t>
  </si>
  <si>
    <t>EMPENHO REF. CONFECÇÃO E FORNECIMENTO DE 12 (DOZE) MOLDURAS DESTINADAS A COMPOR AS GALERIAS DE HOMENAGEADOS DO MPCE, POR MEIO DE DISPENSA DE LICITAÇÃO, CONF. TDCD ITENS 01 E 02 PUB. NO DOMP 1804, DE 17.07.2024, E ORDEM DE SERVIÇO 013/2024/SEAD.</t>
  </si>
  <si>
    <t>339030 - 1 - 1891.32</t>
  </si>
  <si>
    <t>MARCIO CAMARA PONTES ME</t>
  </si>
  <si>
    <t>Lei 14.133/2021, art. 74, III, “f”, conf. TERMO DE DEFERIMENTO DA CONTRATAÇÃO DIRETA pub. DOMP 1804, 17.07.2024, p. 01-02.</t>
  </si>
  <si>
    <t>EMPENHO REF. INSCRIÇÃO DE 02 (DOIS) SERVIDORES LOTADOS NO NATEC/MPCE PARA O CURSO CURSO DIREITO URBANÍSTICO E GESTÃO URBANA, A REALIZAR-SE NO PERÍODO DE 1º/08/2024 A 11/10/.2024, NA MODALIDADE ON LINE, COM CARGA HORÁRIA DE 42H/A, POR INEXIGIBILIDADE DE LICITAÇÃO, CONF. TDCD PUB. NO DOMP 1804, DE 17.07.2024. PARTICIPANTES BENEFICIADOS:FABIANO SANTIAGO MENDES  ÁREA ARQUITETURA;HENRIQUE ALVES DA SILVA  ÁREA ARQUITETURA.</t>
  </si>
  <si>
    <t>INSTITUTO BRAS DE DIREITO URBANISTICO</t>
  </si>
  <si>
    <t>Proc. Inexigibilidade: 09.2024.00018007-1. Lei 14.133/2021, art. 74, III, “f”, conf. consta no Termo de Deferimento da Contratação Direta de 16/07/2024 (DOMP 1804, 17/07/2024, p. 01).</t>
  </si>
  <si>
    <t>EMPENHO REF. CURSO IN COMPANY COM O TEMA CAPACITAÇÃO EM PRIMEIROS SOCORROS EM SAÚDE MENTAL, PARA ATÉ 200 (DUZENTOS) PARTICIPANTES, COM REALIZAÇÃO PROGRAMADA PARA OS DIAS 20 E 21/08/204, NA SEDE DA ESCOLA SUPERIOR DO MINISTÉRIO PÚBLICO/ESMP/MPCE, COM CARGA HORÁRIA DE 8H/A, POR INEXIGIBILIDADE DE LICITAÇÃO, CONF. TERMO DE DEFERIMENTO DA CONTRATAÇÃO DIRETA (DOMP 1804) E ORDEM DE SERVIÇO SN/2024/ESMP.</t>
  </si>
  <si>
    <t>HUMANITAS DESENVOLVIMENTO DE PESSOAS E CONSULTORIA EMPRESARIAL S/S</t>
  </si>
  <si>
    <t>Proc. Inexigibilidade: 09.2024.00019807-2. Lei 14.133/2021, art. 74, III, “f”, conf. consta no Termo de Deferimento da Contratação Direta de 09/07/2024 (DOMP 1800, 11/07/2024, p. 02).</t>
  </si>
  <si>
    <t>EMPENHO REF. TREINAMENTO IN COMPANY COM O TEMA INSPEÇÃO PREDIAL NA PRÁTICA, PARA 06 (SEIS) SERVIDORES DO MPCE, LOTADOS NO NATEC, COM REALIZAÇÃO PROGRAMADA PARA OS DIAS 24 E 27/09/2024, 01 E 04/10/2024, NA SEDE DA PGE (CAMBEBA), COM CARGA HORÁRIA DE 16H/A, POR INEXIGIBILIDADE DE LICITAÇÃO, CONF. TERMO DE DEFERIMENTO DA CONTRATAÇÃO DIRETA (DOMP 1800).</t>
  </si>
  <si>
    <t>ARQFOR SERVIÇOS DE ARQUITETURA LTDA</t>
  </si>
  <si>
    <t>Lei 14.133/2021, art. 74, III, “f”, conf. consta no TDCD pub. DOMP 1817, 05.08.2024, p. 09.</t>
  </si>
  <si>
    <t>EMPENHO REF. INSCRIÇÃO PARA O CURSO RETENÇÕES DE TRIBUTOS NA ADMINISTRAÇÃO PÚBLICA FEDERAL, ESTADUAL, DISTRITAL E MUNICIPAL - ATUALIZADO COM AS INOVAÇÕES CITADAS PELAS INS RFB Nº 1.234/2012, 2.110/2022 E 2.145/2023 E APRESENTAÇÃO DA NOVA REFORMA TRIBUTÁRIA, PARA 03 (TRÊS) SERVIDORES DO MPCE, LOTADOS NA SEFIN, A REALIZAR-SE EM SÃO PAULO, NA MODALIDADE PRESENCIAL, NOS DIAS 19 A 21/08/2024, POR MEIO DE INEXIGIBILIDADE DE LICITAÇÃO, CONF. TDCD PUB. DOMP 1817 E ORDEM DE SERVIÇO 001/2024/SEFIN.PARTICIPANTES:IVANEIDE FERREIRA FARIAS - ANALISTA MINISTERIAL - CONTÁBEIS;MIRLA KELVYA TEIXEIRA BASTOS - TÉCNICA MINISTERIAL;CRISTIANO MENDES DA SILVA - ANALISTA MINISTERIAL - CONTÁBEIS.</t>
  </si>
  <si>
    <t>Supreme Treinamentos LTDA</t>
  </si>
  <si>
    <t xml:space="preserve">Proc. Dispensa 09.2024.00002797-9. Lei 14.133/2021, art. 75, II, conf. consta no Termo de Deferimento da Contratação Direta pub. DOMP 1817, 05.08.2024, p. 153. </t>
  </si>
  <si>
    <t>EMPENHO REF. CONFECÇÃO E FORNECIMENTO DE TRAJES COMPLETOS, PARA ATENDIMENTO DE DEMANDA DO NUSIT/MPCE, POR MEIO DE DISPENSA DE LICITAÇÃO, CONF. TDCD DOMP 1817 E ORDEM DE COMPRA 084/2024/SEAD.</t>
  </si>
  <si>
    <t>339030 - 1 - 1884.23</t>
  </si>
  <si>
    <t>PROROUPAS CONFECÇÕES LTDA - EPP</t>
  </si>
  <si>
    <t>Proc. Dispensa 09.2023.00033196-0. Lei 14.133/2021, art. 75, II, conf. consta no Termo de Deferimento da Contratação Direta pub. DOE 1817, 05.08.2024, pp. 484-485.</t>
  </si>
  <si>
    <t>EMPENHO REF. SERVIÇO DE AQUISIÇÃO DE FORNECIMENTO DE 02 (DOIS) SUPORTES EXPOSITORES DE PAREDE PARA TABLETS 10, POR MEIO DE DISPENSA ELETRÔNICA, CONF. ORDEM DE SERVIÇO 044/2024/SECOM.</t>
  </si>
  <si>
    <t>339030 - 1 - 1887.28</t>
  </si>
  <si>
    <t>CLERISTON DE OLIVEIRA MELO</t>
  </si>
  <si>
    <t>EMPENHO REF. FORNECIMENTO DE ENERGIA ELÉTRICA EM ALTA TENSÃO A DIVERSAS UNIDADES MINISTERIAIS, POR MEIO DE INEXIGIBILIDADE DE LICITAÇÃO, REF. JUL/2024.</t>
  </si>
  <si>
    <t>EMPENHO REF. FORNECIMENTO DE ENERGIA ELÉTRICA EM BAIXA TENSÃO A DIVERSAS UNIDADES MINISTERIAIS, POR MEIO DE INEXIGIBILIDADE DE LICITAÇÃO, REF. JUL/2024.</t>
  </si>
  <si>
    <t>Lei 14.133/2021, art. 75, II.</t>
  </si>
  <si>
    <t>EMPENHO REF. LOCAÇÃO DE AUDITÓRIO COM ASSENTOS ACOLCHOADOS PARA APROX. 120 PESSOAS, BEM COMO ESPAÇO COBERTO COM ASSENTOS PARA APROX. 70 PESSOAS, PARA REALIZAÇÃO DO EVENTO SMART MP  CONECTAR IDEIAS COM O FUTURO, NA CIDADE DE UBAJARA-CE, NOS DIAS 21 A 23/08.2024, CONF. DISPENSA SEM DISPUTA POR LANCES Nº 027/2024 E ORDEM DE SERVIÇO 096/2024.</t>
  </si>
  <si>
    <t>NEBLINA PARK HOTEL LTDA</t>
  </si>
  <si>
    <t>Lei 14.133/2021, art. 74, III, “f”.</t>
  </si>
  <si>
    <t>EMPENHO REF. CURSO DE CAPACITAÇÃO IN COMPANY, PARA MEMBROS E SERVIDORES DO MPCE, NOS DIAS 08, 15 E 22.10.2024, VIRTUAL, ATRAVÉS DA PLATAFORMA TEAMS, POR MEIO DE INEXIGIBILIDADE DE LICITAÇÃO, CONF. ORDEM DE SERVIÇO S/N/2024/ESMP.</t>
  </si>
  <si>
    <t>ROSE APARECIDA FERREIRA RIBEIRO</t>
  </si>
  <si>
    <t>EMPENHO REF. FORNECIMENTO DE ENERGIA ELÉTRICA EM BAIXA TENSÃO A DIVERSAS UNIDADES MINISTERIAIS, POR MEIO DE INEXIGIBILIDADE DE LICITAÇÃO, REF. AGO/2024.</t>
  </si>
  <si>
    <t>EMPENHO REF. FORNECIMENTO DE ENERGIA ELÉTRICA EM ALTA TENSÃO A DIVERSAS UNIDADES MINISTERIAIS, POR MEIO DE INEXIGIBILIDADE DE LICITAÇÃO, REF. AGO/2024.</t>
  </si>
  <si>
    <t>EMPENHO REF. SERVIÇOS DE FOTOS INSTANTÂNEAS (TOTEM/CABINE FOTOGRÁFICA), POR MEIO DE DISPENSA DE LICITAÇÃO, REF. AGO E SET/2024, POR ESTIMATIVA.</t>
  </si>
  <si>
    <t>339039 - 14 - 2210.68</t>
  </si>
  <si>
    <t>TR PHOTO FILMES</t>
  </si>
  <si>
    <t>DISPENSA ELETRÔNICA 022/2024. Lei 14.133/2021.</t>
  </si>
  <si>
    <t xml:space="preserve">EMPENHO REF. COMPRA DE 300 (TREZENTOS) SUPORTES, DE PLÁSTICO, TIPO CALÇO, PARA TELHA METÁLICA TRAPEZOIDAL, PARA AS UNIDADES MINISTERIAIS DE MARACANAÚ E DA SEDE DA PGJ (CAMBEBA), CONF. DISPENSA ELETRÔNICA 022/2024 E ORDEM DE COMPRA 017/2024/SEGEP. </t>
  </si>
  <si>
    <t>339030 - 1 - 1886.27</t>
  </si>
  <si>
    <t>ROSENILTON OLIVEIRA DE LIMA</t>
  </si>
  <si>
    <t>EMPENHO REF. INSCRIÇÃO DE 1 (UM) SERVIDOR, LOTADO NA GERÊNCIA DO CONTROLE INTERNO DA PGJ/MPCE, NO 4º SEMINÁRIO NACIONAL DE CONTROLE INTERNO NAS CONTRATAÇÕES PÚBLICAS, COM CARGA HORÁRIA DE 24H/A, A OCORRER NOS DIAS 23 A 25.09.2024, NA CIDADE DE FOZ DO IGUAÇU-PR, CONF. INEXIGIBILIDADE 001/2024 E ORDEM DE SERVIÇO 001/2024.</t>
  </si>
  <si>
    <t>EMPENHO REF. 01 (UMA) INSCRIÇÃO NO CURSO COM O TEMA AUDITANDO A GESTÃO DE RISCOS CORPORATIVOS (GRC), COM CARGA HORÁRIA DE 24H/A, POR INEXIGIBILIDADE DE LICITAÇÃO, CONF. ORDEM DE SERVIÇO 002/2024.</t>
  </si>
  <si>
    <t>INSTITUTO DOS AUDITORES INTERNOS DO BRASIL</t>
  </si>
  <si>
    <t>DISPENSA ELETRÔNICA 022/2024.</t>
  </si>
  <si>
    <t>EMPENHO REF. COMPRA DE TELHA EM MATERIAL ALUZINCO GALVALUME, CONF. DISPENSA ELETRÔNICA 022/2024 E ORDEM DE COMPRA 016/2024/GEAEM.</t>
  </si>
  <si>
    <t>53.347.693 FABRICIO LUIZ CERDEIRA DE OLIVEIRA</t>
  </si>
  <si>
    <t>Lei 14.133/2021, art. 75, II, comb. com art. 72, VII.</t>
  </si>
  <si>
    <t>EMPENHO REF. CONFECÇÃO E FORNECIMENTO DE 80 (OITENTA) CANECAS PERSONALIZADAS, POR DISPENSA DE LICITAÇÃO SEM DISPUTA POR LANCES, CONF. ORDEM DE SERVIÇO 023/2024/SEGEP.</t>
  </si>
  <si>
    <t>339032 - 20 - 2266.10</t>
  </si>
  <si>
    <t>ESTAMPA MIX LTDA</t>
  </si>
  <si>
    <t>INSTITUTO DE ESTUDOS PESQUISAS E PROJETOS DA UECE IEPRO</t>
  </si>
  <si>
    <t>Lei n° 14.133/2021.</t>
  </si>
  <si>
    <t>EMPENHO REF. SERVIÇOS DE ASSESSORIA ESPORTIVA, VISANDO À REALIZAÇÃO DO 1º PASSEIO CICLÍSTICO DO MPCE, PROGRAMADO PARA O DIA 21/09/2024, COM SAÍDA NA SEDE DA PGJ NO CAMBEBA E PERCURSO DE 10KM, CONF. DISPENSA ELETRÔNICA 031/2024 E ORDEM DE SERVIÇO 026/2024/SEGEP.</t>
  </si>
  <si>
    <t>TORRES E TORRES ORGANIZACÕES DE EVENTOS E SERVIÇOS LTDA</t>
  </si>
  <si>
    <t>EMPENHO REF. 02 (DUAS) INSCRIÇÕES NO CURSO "2º SUMMIT DE SEGURANÇA PSICOLÓGICA", COM CARGA HORÁRIA DE 22H/A, A OCORRER NOS DIAS 14 E 15/10/2024, EM SÃO PAULO-SP, POR INEXIGIBILIDADE DE LICITAÇÃO, CONF. ORDEM DE SERVIÇO 028/2024/SEGEP.SERVIDORES QUE PARTICIPARÃO DO CURSO:- LEIDIANE BRAZÃO DANTAS DA SILVA (CPF: 963.271.973-53) E- LUANA SANTOS DO NASCIMENTO (CPF: 000.719.483-84).</t>
  </si>
  <si>
    <t>IISP EDUCACAO CORPORATIVA E CURSOS LTDA</t>
  </si>
  <si>
    <t>(a)</t>
  </si>
  <si>
    <t>(b)</t>
  </si>
  <si>
    <t>(c)</t>
  </si>
  <si>
    <t>(d)</t>
  </si>
  <si>
    <t>(e)</t>
  </si>
  <si>
    <t>(f)</t>
  </si>
  <si>
    <t>(g)</t>
  </si>
  <si>
    <t>(h)</t>
  </si>
  <si>
    <t>(i)</t>
  </si>
  <si>
    <t>(j)</t>
  </si>
  <si>
    <t>=HIPERLINK("https://www8.mpce.mp.br/Empenhos/150001/Objeto/16-2017.pdf";"EMPENHO DE TMRSU REFERENTE A 2ª PARCELA DE 2024, REF.  A TAXA DE LIXO AO IMÓVEL, ONDE FUNCIONAM AS PROMOTORIAS DE JUSTIÇA CRIMINAIS, LOCALIZADO À AVENIDA CORONEL JOSÉ PHILOMENO, N° 222, BAIRRO ENGENHEIRO LUCIANO CAVALCANTE, FORTALEZA-CE, CONF. CONTRATO Nº 016/2017/PGJ.")</t>
  </si>
  <si>
    <t>Lei 8.666/93, art. 24, X.</t>
  </si>
  <si>
    <t>Lei 8.666/93, art. 25, II, comb. c/ art. 13, II.</t>
  </si>
  <si>
    <t>Lei n° 14.133/2021, Art. 75, IX E CONTRATO Nº 058/2024.</t>
  </si>
  <si>
    <t>Lei 8.666/93 Art.25 , II, c/c art. 13,II  e Contrato nº 047/2019.</t>
  </si>
  <si>
    <t>Lei 8.666/1993, art.24 , X.</t>
  </si>
  <si>
    <t>Lei 8.666/1993 Art.24 ,II  e Contrato 32/2021.</t>
  </si>
  <si>
    <t>Lei 8.666/93, art. 24, inc. II.</t>
  </si>
  <si>
    <t>Lei 14.133/2021, art. 74, V.</t>
  </si>
  <si>
    <t>Lei 8.666/1993, art.24, X.</t>
  </si>
  <si>
    <t>Lei 14.133/2021.</t>
  </si>
  <si>
    <t>Lei n° 14.133/2021, Art. 74 e Contrato nº 036/2023/PGJ</t>
  </si>
  <si>
    <t>Lei 8.666/1993 Art.24  e Contrato nº 038/2022.</t>
  </si>
  <si>
    <t>Lei 8.666/1993 Art.24  e Contrato nº 036/2022.</t>
  </si>
  <si>
    <t>Lei 8.666/1993 Art.24 e Contrato nº 028/2022/PGJ.</t>
  </si>
  <si>
    <t>Lei 8.666/1993 Art.24 e Contrato nº 084/2019.</t>
  </si>
  <si>
    <t>Lei 8.666/1993 Art.24  e Contrato nº 085/2019.</t>
  </si>
  <si>
    <t>339036 - 12 - 2084.11</t>
  </si>
  <si>
    <t>Lei 8.666/1993 Art.24 e Contrato nº 025/2021.</t>
  </si>
  <si>
    <t xml:space="preserve">Lei 14.133/2021, art. 75, II._x000D_
</t>
  </si>
  <si>
    <t>MAPDATA TECNOLOGIA, INFORMÁTICA E COMÉRCIO LTDA</t>
  </si>
  <si>
    <t>Lei n° 14.133/2021, Art. 75, IX E CONTRATO Nº 022/2024.</t>
  </si>
  <si>
    <t>Lei 8.666/1993, ART.65, ALÍNEA "B", CONTRATO 006/2020.</t>
  </si>
  <si>
    <t>Lei n° 14.133/2021, Art. 75, XI e CONTRATO: 032/2023.</t>
  </si>
  <si>
    <t>Lei 8.666/1993 Art.24 , XVI e Contrato nº 001/2022.</t>
  </si>
  <si>
    <t>Lei n° 14.133/2021, Art. 74, I E CONTRATO Nº 059/2023</t>
  </si>
  <si>
    <t>Lei 8.666/93 Art.25 - Caput e Contrato nº 009/2022.</t>
  </si>
  <si>
    <t xml:space="preserve">Lei 8.666/93, art. 24, XVI._x000D_
</t>
  </si>
  <si>
    <t>Lei 14.133/2021, art. 74, caput e inc. I.</t>
  </si>
  <si>
    <t xml:space="preserve">Lei 14.133/2021, art. 74, caput e inc. I._x000D_
</t>
  </si>
  <si>
    <t>Lei 14.133/2021, art. 74, I.</t>
  </si>
  <si>
    <t>Lei 8.666/93.</t>
  </si>
  <si>
    <t>Lei 8.666/93, art. 24, XVI.</t>
  </si>
  <si>
    <t>Lei 14.133/2021, art. 74, I e Contrato 025/2024.</t>
  </si>
  <si>
    <t>Lei n° 14.133/2021, Art. 74,III, c.</t>
  </si>
  <si>
    <t>Lei 8.666/1993 Art.24 e Contrato nº 017/2022.</t>
  </si>
  <si>
    <t>INEXIGIBILIDADE 001/2024._x000D_
Lei 14.133/2021, art. 74, III, “f”.</t>
  </si>
  <si>
    <t>EMPENHO REF. LOCAÇÃO DE SALA DE CINEMA PARA O DIA 21/09/2024, COM EXIBIÇÃO DO FILME "MEU FILHO, NOSSO MUNDO", COM RESPECTIVOS INGRESSOS E O KIT LANCHE (PIPOCA PEQUENA SALGADA + COCA-COLA 500ML/ ÁGUA/ SUCO), PARA 120 (CENTO E VINTE) PESSOAS, POR MEIO DE DISPENSA SEM DISPUTA POR LANCES, CONF. ORDEM DE SERVIÇO 001/2024/SECOM.</t>
  </si>
  <si>
    <t>CINEPOLIS OPERADORA DE CINEMAS DO BRASIL LTDA</t>
  </si>
  <si>
    <t>EMPENHO REF. 02 (DUAS) INSCRIÇÕES NO CURSO PLANEJAMENTO DE COMUNICAÇÃO INTERNA, A OCORRER NOS DIAS 22, 24, 29, 31/10 E 05/11/2024, NA MODALIDADE ON-LINE, CONF. INEXIGIBILIDADE 039.2024 E ORDEM DE SERVIÇO 050/2024/SECOM.PARTICIPANTES:1. MARIANA GONÇALVES MOREIRA - GERENTE DE PUBLICIDADE2. CAMILA ROCHA SILVA ALENCAR - GERENTE DE JORNALISMO</t>
  </si>
  <si>
    <t>ASSOCIACAO BRAS DE COMUNIC EMP ABERJE</t>
  </si>
  <si>
    <t>EMPENHO REF. INSCRIÇÃO DE 2 (DOIS) SERVIDORES LOTADOS NA SECRETARIA DE AQUISIÇÕES E CONTRATOS NO CURSO "CHATGPT E SIMILARES NA ELABORAÇÃO DE DOCUMENTOS DA FASE DE PLANEJAMENTO", COM CARGA HORÁRIA DE 20H/A, A OCORRER NOS DIAS 23 A 27.09.2024, NA MODALIDADE ON-LINE, POR INEXIGIBILIDADE DE LICITAÇÃO, CONF. ORDEM DE SERVIÇO 002/2024/PGJ.PARTICIPANTES:MÁRCIO SARAIVA MACIEL; EELIANE M. TAVARES OLIVEIRA FEITOSA MORAES.</t>
  </si>
  <si>
    <t>ELO CONSULTORIA  EMPRESARIAL E PRODUÇAO  DE EVENTOS LTDA</t>
  </si>
  <si>
    <t>EMPENHO REF. 02 (DUAS) INSCRIÇÕES NO CURSO DE CAPACITAÇÃO: INTELIGÊNCIA ARTIFICIAL PARA COMUNICADORES: PORQUE E COMO SE ADAPTAR, A REALIZAR-SE NOS DIAS 30/10 E 11/11/2024, NA MODALIDADE ON LINE, POR MEIO DE INEXIGIBILIDADE DE LICITAÇÃO, CONF. ORDEM DE SERVIÇO 054/2024/SECOM.PARTICIPANTES:1. MARIANA GONÇALVES MOREIRA - GERENTE DE PUBLICIDADE2. CAMILA ROCHA SILVA ALENCAR - GERENTE DE JORNALISMO</t>
  </si>
  <si>
    <t>FORNECIMENTO DE ÁGUA PARA AS PROMOTORIAS DE BREJO SANTO, REF. AOS MESES DE OUTUBRO À DEZEMBRO DE 2024.</t>
  </si>
  <si>
    <t>Lei 8.666/93 Art.25 - Caput.</t>
  </si>
  <si>
    <t>FORNECIMENTO DE ÁGUA PARA AS PROMOTORIAS DE CRATO, REF. AOS MESES DE OUTUBRO À DEZEMBRO DE 2024.</t>
  </si>
  <si>
    <t>FORNECIMENTO DE ÁGUA PARA AS PROMOTORIAS DE CANINDÉ, REF. AOS MESES DE OUTUBRO À DEZEMBRO DE 2024.</t>
  </si>
  <si>
    <t>FORNECIMENTO DE ÁGUA PARA AS PROMOTORIAS DE GRANJA, REF. AOS MESES DE OUTUBRO À DEZEMBRO DE 2024.</t>
  </si>
  <si>
    <t>Lei 8.666/93 Art.25 - Caput .</t>
  </si>
  <si>
    <t>FORNECIMENTO DE ÁGUA PARA AS PROMOTORIAS DE ICÓ, REF. AOS MESES DE OUTUBRO À DEZEMBRO DE 2024.</t>
  </si>
  <si>
    <t>FORNECIMENTO DE ÁGUA PARA AS PROMOTORIAS DE IGUATU, REF. AOS MESES DE OUTUBRO À DEZEMBRO DE 2024.</t>
  </si>
  <si>
    <t>EMPENHO REF. TAXA DE ÁGUA DE ITAPAJÉ, REF. OUT, NOV E DEZ/2024, POR ESTIMATIVA.</t>
  </si>
  <si>
    <t>EMPENHO REF. TAXA DE ÁGUA, REF. OUT, NOV E DEZ/2024, POR ESTIMATIVA.</t>
  </si>
  <si>
    <t>EMPENHO REF. TAXA DE ÁGUA E ESGOTO REF. OUT/2024, POR ESTIMATIVA.</t>
  </si>
  <si>
    <t>EMPENHO REF. 02 (DUAS) INSCRIÇÕES NO CURSO DE CAPACITAÇÃO: INTELIGÊNCIA ARTIFICIAL PARA COMUNICADORES: PORQUE E COMO SE ADAPTAR, A REALIZAR-SE NOS DIAS 30/10 E 11/11/2024, NA MODALIDADE ON LINE, POR MEIO DE INEXIGIBILIDADE DE LICITAÇÃO, CONF. ORDEM DE SERVIÇO 054/2024/SECOM (FLS. 126/127) E SOLICITAÇÃO DE FLS. 134.PARTICIPANTES:1. MARIANA GONÇALVES MOREIRA - GERENTE DE PUBLICIDADE2. JOSÉ REGINALDO AGUIAR - SECRETÁRIO DE COMUNICAÇÃO</t>
  </si>
  <si>
    <t>Lei n° 14.133/2021 (art. 72 e 74, inciso III, alínea “f”).</t>
  </si>
  <si>
    <t>REFERENTE A CONTRATAÇÃO DE EMPRESA PARA PARTICIPAÇÃO DA SERVIDORA DA COMISSÃO PERMANENTE DE CONTRATAÇÃO, DA SECRETARIA DE AQUISIÇÕES E CONTRATOS, CLAUDIA LUCIO DE MEDEIROS, MATRÍCULA 168252-1-2, NO EVENTO 18º PREGÃO WEEK, A SER REALIZADO CIDADE DE FOZ DO IGUAÇU/PR, NO PERÍODO DE 14 A 18 DE OUTUBRO DE 2024, NA MODALIDADE PRESENCIAL. (INEXIGIBILIDADE).</t>
  </si>
  <si>
    <t>EMPENHO REF. INSCRIÇÃO DE 03 (TRÊS) SERVIDORES DO MPCE NO SEMINÁRIO DE OBRAS 2024  EXCELÊNCIA NA CONTRATAÇÃO DE OBRAS PÚBLICAS E SERVIÇOS DE ENGENHARIA, A SER REALIZADO NO RIO DE JANEIRO-RJ, NO PERÍODO DE 09 A 11.10.2024, CONF. ORDEM DE COMPRA 022/2024/SEAD.</t>
  </si>
  <si>
    <t>EXCELENCIA SERVICOS E REPRESENTACOES LTDA</t>
  </si>
  <si>
    <t>EMPENHO REF. SERVIÇOS DE ASSESSORIA ESPORTIVA, VISANDO À ORGANIZAÇÃO, EXECUÇÃO E O APOIO LOGÍSTICO PARA A REALIZAÇÃO DA CORRIDA GENTE DE VALOR MPCE, CONF. DISPENSA ELETRÔNICA 032/2024 - ITEM 01 E ORDEM DE SERVIÇO 029/2024/SEGEP, REF. OUT/2024.</t>
  </si>
  <si>
    <t>Lei 8.666/93, art. 24, VIII.</t>
  </si>
  <si>
    <t>8918421000108</t>
  </si>
  <si>
    <t>33757000181</t>
  </si>
  <si>
    <t>3888247000184</t>
  </si>
  <si>
    <t>7047251000170</t>
  </si>
  <si>
    <t>48000949000118</t>
  </si>
  <si>
    <t>48441477000139</t>
  </si>
  <si>
    <t>5077676000105</t>
  </si>
  <si>
    <t>13183749000163</t>
  </si>
  <si>
    <t>29261229000161</t>
  </si>
  <si>
    <t>51871404000191</t>
  </si>
  <si>
    <t>5555382000133</t>
  </si>
  <si>
    <t>12925895000154</t>
  </si>
  <si>
    <t>53820857000114</t>
  </si>
  <si>
    <t>60792942000181</t>
  </si>
  <si>
    <t>12967719000185</t>
  </si>
  <si>
    <t>23872706000149</t>
  </si>
  <si>
    <t>15664649000184</t>
  </si>
  <si>
    <t>36418009000164</t>
  </si>
  <si>
    <t>33372251006600</t>
  </si>
  <si>
    <t>4566342000124</t>
  </si>
  <si>
    <t>11517150000193</t>
  </si>
  <si>
    <t>51739136000159</t>
  </si>
  <si>
    <t>7341423000114</t>
  </si>
  <si>
    <t>10489713000114</t>
  </si>
  <si>
    <t>35076587000105</t>
  </si>
  <si>
    <t>7084577000178</t>
  </si>
  <si>
    <t>52677115000119</t>
  </si>
  <si>
    <t>61198164000160</t>
  </si>
  <si>
    <t>10507664000103</t>
  </si>
  <si>
    <t>32797434000150</t>
  </si>
  <si>
    <t>1300487000190</t>
  </si>
  <si>
    <t>41789816000123</t>
  </si>
  <si>
    <t>10498974000109</t>
  </si>
  <si>
    <t>66582784000111</t>
  </si>
  <si>
    <t>28801634000162</t>
  </si>
  <si>
    <t>29101955000117</t>
  </si>
  <si>
    <t>1722296000117</t>
  </si>
  <si>
    <t>9485574000171</t>
  </si>
  <si>
    <t>8289383000171</t>
  </si>
  <si>
    <t>14561595000169</t>
  </si>
  <si>
    <t>68969302000106</t>
  </si>
  <si>
    <t>1953555390</t>
  </si>
  <si>
    <t>43229091000144</t>
  </si>
  <si>
    <t>42912077000188</t>
  </si>
  <si>
    <t>20519953000178</t>
  </si>
  <si>
    <t>10744098000145</t>
  </si>
  <si>
    <t>38174919000174</t>
  </si>
  <si>
    <t>13048875000296</t>
  </si>
  <si>
    <t>31433068000198</t>
  </si>
  <si>
    <t>33402892000106</t>
  </si>
  <si>
    <t>21545863000114</t>
  </si>
  <si>
    <t>49470635000141</t>
  </si>
  <si>
    <t>13180857000182</t>
  </si>
  <si>
    <t>41568221000148</t>
  </si>
  <si>
    <t>7437563000190</t>
  </si>
  <si>
    <t>9280974000140</t>
  </si>
  <si>
    <t>27552254000179</t>
  </si>
  <si>
    <t>53940195000116</t>
  </si>
  <si>
    <t>556225000129</t>
  </si>
  <si>
    <t>52618765000193</t>
  </si>
  <si>
    <t>8261278000124</t>
  </si>
  <si>
    <t>1383182124</t>
  </si>
  <si>
    <t>24224308000189</t>
  </si>
  <si>
    <t>29604467000122</t>
  </si>
  <si>
    <t>10498974000281</t>
  </si>
  <si>
    <t>62070115000100</t>
  </si>
  <si>
    <t>53347693000150</t>
  </si>
  <si>
    <t>17421820000150</t>
  </si>
  <si>
    <t>977419000106</t>
  </si>
  <si>
    <t>13146254000164</t>
  </si>
  <si>
    <t>42268736000195</t>
  </si>
  <si>
    <t>9652820000132</t>
  </si>
  <si>
    <t>43147693000152</t>
  </si>
  <si>
    <t>714403000100</t>
  </si>
  <si>
    <t>35371987000135</t>
  </si>
  <si>
    <t>Lei 8.666/93, art. 24, V.</t>
  </si>
  <si>
    <t>DIFERENCIAL SERVIÇOS E TREINAMENTOS LTDA-ME</t>
  </si>
  <si>
    <t>Lei 8.666/1993, art.24, II.</t>
  </si>
  <si>
    <t>Lei 14.133/2021, art. 75, IX.</t>
  </si>
  <si>
    <t>Lei 8.666/1993 Art.24 , X E Contrato 016/2017/PGJ.</t>
  </si>
  <si>
    <t>Lei n° 14.133/2021, Art. 75, VIII, e Contrato 039/2024.</t>
  </si>
  <si>
    <t>339040 - 78 - 3082.09</t>
  </si>
  <si>
    <t xml:space="preserve">Lei 14.133/2021, art. 74, I._x000D_
</t>
  </si>
  <si>
    <t>Lei 8.666/1993 Art.24 e Contrato nº 038/2022.</t>
  </si>
  <si>
    <t>Lei 8.666/1993 Art.24 e Contrato nº 074/2019.</t>
  </si>
  <si>
    <t>Contrato nº 044/2024.</t>
  </si>
  <si>
    <t>Lei n° 14.133/2021, Art. 74, III, c e Contrato nº 015/2023.</t>
  </si>
  <si>
    <t>Contrato nº 027/2021.</t>
  </si>
  <si>
    <t>Lei n° 14.133/2021, Art. 74, caput e inc. I.</t>
  </si>
  <si>
    <t>Lei n° 14.133/2021, Art. 74, caput e inc. I e Contrato nº 042/2024.</t>
  </si>
  <si>
    <t>Lei n° 14.133/2021, Art. 74, caput, I e Contrato nº 042/2024.</t>
  </si>
  <si>
    <t>ENGAJA COMUNICACAO LTDA</t>
  </si>
  <si>
    <t>Lei 8.666/1993 Art.24 ,X.</t>
  </si>
  <si>
    <t>CONTRATO Nº 034/2021.</t>
  </si>
  <si>
    <t>339039 - 14 - 2208.66</t>
  </si>
  <si>
    <t>Lei 8.666/1993 Art.24 , X e Contrato nº  016/2017.</t>
  </si>
  <si>
    <t>Lei 8.666/1993 Art.24  e Contrato nº 024/2022.</t>
  </si>
  <si>
    <t>449040 - 78 - 3081.08</t>
  </si>
  <si>
    <t>Contrato nº 044/2023.</t>
  </si>
  <si>
    <t>Contrato nº 028/2022.</t>
  </si>
  <si>
    <t>Contrato nº 033/2023.</t>
  </si>
  <si>
    <t>Contrato nº 036/2022.</t>
  </si>
  <si>
    <t>Contrato nº 012/2022.</t>
  </si>
  <si>
    <t>Contrato nº 008/2023.</t>
  </si>
  <si>
    <t>Contrato nº 010/2023.</t>
  </si>
  <si>
    <t>Contrato nº 041/2021.</t>
  </si>
  <si>
    <t>Lei 8.666/93, art. 25, I.</t>
  </si>
  <si>
    <t>NP TECNOLOGIA E GESTAO DE DADOS LTDA</t>
  </si>
  <si>
    <t>G MATOS SERVICOS LTDA</t>
  </si>
  <si>
    <t>Lei n° 14.133/2021, Art. 74,inciso I</t>
  </si>
  <si>
    <t>4 SECURITY TECNOLOGIA DA INFORMAÇÃO LTDA - ME</t>
  </si>
  <si>
    <t>Art. 74, III, alínea “f”, da Lei nº 14.133/2021.</t>
  </si>
  <si>
    <t>AQUISIÇÃO DE 20 (VINTE) INSCRIÇÕES PARA MEMBROS DO MINISTÉRIO PÚBLICO DE ESTADO DO CEARÁ, NO 7º CONGRESSO DO MINISTÉRIO PÚBLICO DA REGIÃO NORDESTE, COM CARGA HORÁRIA DE 20H/A (VINTE HORAS), A OCORRER NOS DIAS 04/12 A 06/12 EM JOÃO PESSOA/PARAÍBA, VISANDO A REFLEXÃO SOBRE OS HORIZONTES INSTITUCIONAIS. INEXIGIBILIDADE.</t>
  </si>
  <si>
    <t>339039 - 14 - 2177.39</t>
  </si>
  <si>
    <t>ASSOC NAC DOS MEMBROS DO MP CONAMP</t>
  </si>
  <si>
    <t xml:space="preserve">Lei 14.133/2021, art. 75, IX._x000D_
</t>
  </si>
  <si>
    <t xml:space="preserve"> SERVICO FEDERAL DE PROCESSAMENTO DE DADOS (SERPRO)</t>
  </si>
  <si>
    <t>Lei n° 14.133/2021, Art. 74,§3º e art. 6º, XVIII, alínea “f”.</t>
  </si>
  <si>
    <t>CONTRATAÇÃO DIRETA DA EMPRESA CONSULTRE CONSULTORIA E TREINAMENTOS LTDA, POR INEXIGIBILIDADE DE LICITAÇÃO, COM VISTAS A INSCRIÇÃO DE 01 (UM) SERVIDOR DO MINISTÉRIO PÚBLICO DO ESTADO DO CEARÁ LOTADO NA SECRETARIA DE AQUISIÇÕES E CONTRATOS NO CURSO INTELIGÊNCIA ARTIFICIAL APLICADA ÀS CONTRATAÇÕES PÚBLICAS, A SER REALIZADO NOS DIAS 06 A 08 DE NOVEMBRO DE 2024, NA CIDADE DE SÃO PAULO / SP.</t>
  </si>
  <si>
    <t>CONSULTRE CONSULTORIA &amp; TREINAMENTO LTDA</t>
  </si>
  <si>
    <t>IBGM-INSTITURO BRASILEIRO DE GESTÃO E MARKETING LTDA</t>
  </si>
  <si>
    <t>EMPENHO REF. INSCRIÇÃO DE 03 (TRÊS) SERVIDORES DO MPCE NO SEMINÁRIO DE OBRAS 2024  EXCELÊNCIA NA CONTRATAÇÃO DE OBRAS PÚBLICAS E SERVIÇOS DE ENGENHARIA, A SER REALIZADO NO RIO DE JANEIRO-RJ, NO PERÍODO DE 09 A 11.10.2024, CONF. ORDEM DE COMPRA 022/2024/SEAD.SERVIDORES PARTICIPANTES:GLEYCIANNE CAVALCANTE MARIANO DE SOUSA;EDWIN MENDES ROLIM EEDSON NASCIMENTO DONATO.</t>
  </si>
  <si>
    <t>EXCELÊNCIA EDUCAÇÃO E ENSINO LTDA</t>
  </si>
  <si>
    <t>Lei n° 14.133/2021, art. 74, III, "f".</t>
  </si>
  <si>
    <t>EMPENHO REF. PALESTRA COM TEMA O IMPACTO DA INTELIGÊNCIA ARTIFICIAL NA SOCIEDADE, EDUCAÇÃO E NO TRABALHO, NO DIA 12/12/2024, POR INEXIGIBILIDADE DE LICITAÇÃO, CONF. ORDEM DE SERVIÇO S/N/2024/ESMP.</t>
  </si>
  <si>
    <t>MARTHA CARRER CRUZ GABRIEL LTDA</t>
  </si>
  <si>
    <t>EMPENHO REF. 01 (UMA) INSCRIÇÃO NO CURSO COM O TEMA "COSO ERM 2017, COM CARGA HORÁRIA DE 32H/A, POR INEXIGIBILIDADE DE LICITAÇÃO, CONF. ORDEM DE SERVIÇO 003/2024.SERVIDOR PARTICIPANTE:DINA QUINTAS COLARES ARAÚJO.</t>
  </si>
  <si>
    <t>EMPENHO REF. 01 (UM) INSCRIÇÃO NO 8º CONGRESSO BRASILEIRO DE GOVERNANÇA, CONTROLE PÚBLICO E GESTÃO DE RISCOS NAS AQUISIÇÕES, COM CARGA HORÁRIA DE 24H/A, A OCORRER NOS DIAS 25 A 27.11.2024, NA CIDADE DE FOZ DO IGUAÇU-PR, CONF. INEXIGIBILIDADE 052/2024 E ORDEM DE SERVIÇO S/N/2024.SERVIDOR PARTICIPANTE:LUCAS JUVENCIO SPINOSA DE SOUZA</t>
  </si>
  <si>
    <t>EMPENHO REF. PALESTRA IN COMPANY COM O TEMA O HUMOR TRANSFORMA VIDAS, NO DIA 13.12.2024, POR INEXIGIBILIDADE DE LICITAÇÃO, CONF. ORDEM DE SERVIÇO S/N /2024/ESMP.</t>
  </si>
  <si>
    <t>MEI DO MUNDO PRODUCOES LTDA</t>
  </si>
  <si>
    <t>Lei n° 14.133/2021, Art. 74, III, alínea "f" e art. 6º, XVIII.</t>
  </si>
  <si>
    <t>CONTRATAÇÃO DO INSTITUTO BRASILEIRO DE GOVERNANÇA CORPORATIVA  IBGC VISANDO A INSCRIÇÃO DE 03 (TRÊS) SERVIDORES, LOTADOS NA SECRETARIA DE PLANEJAMENTO E MODERNIZAÇÃO ADMINISTRATIVA, NO CURSO COM O TEMA GOVERNANÇA: COMO ESTRUTURAR E GERAR VALOR À ORGANIZAÇÃO  64ª EDIÇÃO, EM FORMATO ON-LINE, COM CARGA HORÁRIA DE 30H/A, A SER REALIZADO NOS DIAS 14, 19, 21, 26 E 28/11/2024; E 03, 05 E 10/12/2024.SERVIDORES: TICIANA CIRA LIMA SAMPAIO, FABRÍCIO BELLO SOARES E JOÃO PAULO DE ALMEIDA COSTA. INEXIGIBILIDADE.</t>
  </si>
  <si>
    <t>INSTITUTO BRASILEIRO DE GOVERNANCA CORPORATIVA</t>
  </si>
  <si>
    <t>EMPENHO REF. INSCRIÇÃO DE DE 4 (QUATRO) SERVIDORES, TODOS LOTADOS NA SECRETARIA DE PLANEJAMENTO E MODERNIZAÇÃO, NO CURSO "TRANSFEREGOV-COMPLETO", POR INEXIGIBILIDADE DE LICITAÇÃO, CONF. ORDEM DE SERVIÇO 001/2024.PARTICIPANTES:MÁRCIO SARAIVA MACIEL;MARCIANA ISABELY MARTINS PEREIRA;TICIANA CIRA LIMA ESAMPAIO E FABRÍCIO BELLO SOARES.</t>
  </si>
  <si>
    <t>ORZIL CONSULTORIA LTDA</t>
  </si>
  <si>
    <t>EMPENHO REF. FORNECIMENTO DE ENERGIA ELÉTRICA EM ALTA TENSÃO A DIVERSAS UNIDADES MINISTERIAIS, POR MEIO DE INEXIGIBILIDADE DE LICITAÇÃO, REF. OUT E NOV/2024, POR ESTIMATIVA.</t>
  </si>
  <si>
    <t>EMPENHO REF. FORNECIMENTO DE ENERGIA ELÉTRICA EM BAIXA TENSÃO A DIVERSAS UNIDADES MINISTERIAIS, POR MEIO DE INEXIGIBILIDADE DE LICITAÇÃO, REF. OUT E NOV/2024, POR ESTIMATIVA.</t>
  </si>
  <si>
    <t>PORTFOLIO SERVICOS EDUCACIONAIS, TECNOLOGICOS E RH EIRELI</t>
  </si>
  <si>
    <t>EMPENHO REF. 20 (VINTE) INSCRIÇÕES PARA MEMBROS E SERVIDORES DO MPCE NO CURSO DE REGULARIZAÇÃO FUNDIÁRIA URBANA, A REALIZAR-SE ATÉ O DIA 02.12.2024, COM CARGA HORÁRIA DE 22H/A, POR INEXIGIBILIDADE DE LICITAÇÃO, CONF. ORDEM DE SERVIÇO S/N/2024/ESMP.</t>
  </si>
  <si>
    <t xml:space="preserve">Lei 14.133/2021, art. 74, III, “f”._x000D_
</t>
  </si>
  <si>
    <t>EMPENHO REF. INSCRIÇÃO EM CURSO COMPLETO DA PLANILHA DE CUSTOS, FORMAÇÃO DE PREÇOS E TERCEIRIZAÇÃO, POR MEIO DE INEXIGIBILIDADE DE LICITAÇÃO, CONF. ORDEM DE SERVIÇO 006/2024/SEAC.SERVIDOR:ANTONIO MARIA SARAIVA CORREIA.</t>
  </si>
  <si>
    <t>art. 75, II, da Lei nº 14.133/2021. (COMPRA DIRETA).</t>
  </si>
  <si>
    <t>AQUISIÇÃO DE VESTIMENTA (CONJUNTO DE PALETÓS E ACESSÓRIOS) PARA ATENDER DEMANDA DO NÚCLEO DE SEGURANÇA INSTITUCIONAL E INTELIGÊNCIA - NUSIT. (DISPENSA DE LICITAÇÃO - COMPRA DIRETA)</t>
  </si>
  <si>
    <t>VIA VENETO ROUPAS LTDA</t>
  </si>
  <si>
    <t>EMPENHO REF. INSCRIÇÃO DE 05 (CINCO) SERVIDORES DO MPCE EM CURSO DE TOPOGRAFIA COM DRONE, POR INEXIGIBILIDADE DE LICITAÇÃO, A REALIZAR-SE NOS DIAS 25, 26 E 28.11.2024.PARTICIPANTES:PAULO ROGERIO ABREU DE ALBUQUERQUE  ÁREA ARQUITETURAPEDRO HENRIQUE DE ARAUJO NUNES PEREIRA  ÁREA ENGENHARIAJOELSON CAVALCANTE DA SILVA - ÁREA ENGENHARIATICIANA RODRIGUES DE CASTRO TORRES  ÁREA MEIO AMBIENTEMARIA IVANILDE DE SENA LIMA - ÁREA MEIO AMBIENTE.</t>
  </si>
  <si>
    <t>GEODATA ENGENHARIA EIRELI</t>
  </si>
  <si>
    <t>Lei n° 14.133/2021, art. 75, II.</t>
  </si>
  <si>
    <t>EMPENHO REF. IMPRESSÃO DO GUIA BÁSICO DE ACESSIBILIDADE NA COMUNICAÇÃO - CONDUTAS E AÇÕES EM EVENTOS PROMOVIDOS PELO MINISTÉRIO PÚBLICO BRASILEIRO, POR MEIO DE DISPENSA DE LICITAÇÃO, CONF. ORDEM DE SERVIÇO 061/2024/SECOM.</t>
  </si>
  <si>
    <t>339039 - 14 - 2202.60</t>
  </si>
  <si>
    <t>GRAFICA E EDITORA EXITO LTDA</t>
  </si>
  <si>
    <t>19617435000108</t>
  </si>
  <si>
    <t>33372251006278</t>
  </si>
  <si>
    <t>19093773000198</t>
  </si>
  <si>
    <t>7797967000195</t>
  </si>
  <si>
    <t>12003231000138</t>
  </si>
  <si>
    <t>54284583000159</t>
  </si>
  <si>
    <t>33683111000107</t>
  </si>
  <si>
    <t>36003671000153</t>
  </si>
  <si>
    <t>7397220000140</t>
  </si>
  <si>
    <t>26855539000116</t>
  </si>
  <si>
    <t>11508110000185</t>
  </si>
  <si>
    <t>20350083000156</t>
  </si>
  <si>
    <t>1082331000180</t>
  </si>
  <si>
    <t>8942423000132</t>
  </si>
  <si>
    <t>7885170000140</t>
  </si>
  <si>
    <t>47100110016435</t>
  </si>
  <si>
    <t>5683561000156</t>
  </si>
  <si>
    <t>36039457000157</t>
  </si>
  <si>
    <t>Lei 8.666/1993 Art.24 , X  e Contrato nº 025/2023.</t>
  </si>
  <si>
    <t>Lei 8.666/1993 Art.24 e Contrato nº 024/2023.</t>
  </si>
  <si>
    <t>Lei 8.666/1993 Art.24  e Contrato nº 029/2022.</t>
  </si>
  <si>
    <t>Lei n° 14.133/2021, Art. 74 e Contrato nº 054/2023.</t>
  </si>
  <si>
    <t>Lei 8.666/1993 Art.24 e Contrato nº 043/2013.</t>
  </si>
  <si>
    <t>Lei n° 14.133/2021, Art. 74 e Contrato nº 091/2024.</t>
  </si>
  <si>
    <t>FRANCISCO CLAUDIO ALVES DE LIMA</t>
  </si>
  <si>
    <t xml:space="preserve">Lei 14.133/2021, art. 74, V._x000D_
</t>
  </si>
  <si>
    <t>ANA CARLA MESQUITA MIRANDA MAGALHÃES</t>
  </si>
  <si>
    <t>Lei 8.666/1993 Art.24 , X e Contrato nº 045/2021.</t>
  </si>
  <si>
    <t>Lei 8.666/93, art. 25, inc. I.</t>
  </si>
  <si>
    <t>EMPENHO SUPLEMENTAR À NED 2024NE000009, REF. LICENÇA PERMANENTE DO SISTEMA SAJ-MP, CONF. CONTRATO 031/2018 E TRD 0025/2024/SEFIN (PGA 09.2024.00000717-2, FLS. 81), REF. JAN, FEV E MAR/2024.</t>
  </si>
  <si>
    <t>Lei n° 14.133/2021, Art. 75, II e Aviso de Despensa de Licitação nº 040/2024.</t>
  </si>
  <si>
    <t>REFERENTE A SERVIÇOS RELACIONADO A REALIZAÇÃO DA SEMANA DO MP, QUE OCORRERÁ NOS DIAS 11 À 13 DE DEZEMBRO DE 2024, COMPREENDENDO LOCAÇÃO DE AUDITÓRIO E SALA DE APOIO, EQUIPAMENTOS DE ÁUDIO E VÍDEO, APOIO DE COPA, FOYER, ACESSO À INTERNET E DISPONIBILIZAÇÃO DE ÁGUA, CONF. AVISO DE DESPENSA DE LICITAÇÃO Nº 040/2024.</t>
  </si>
  <si>
    <t>BSPAR DESENVOLVIMENTO IMOBILIÁRIO LTDA</t>
  </si>
  <si>
    <t>Lei n° 14.133/2021, Art. 74, II, alíneas "c" e "f", conf. Contrato nº 096/2024.</t>
  </si>
  <si>
    <t xml:space="preserve">PORTFOLIO CONSULTORIA EMPRESARIAL LTDA </t>
  </si>
  <si>
    <t>Lei n° 14.133/2021, Art. 75 E NORMAS CORRELATAS, lEI 9.784/99</t>
  </si>
  <si>
    <t>=HIPERLINK("https://www8.mpce.mp.br/Empenhos/150001/Objeto/86-2024.pdf";"PRESTAÇÃO DE SERVIÇOS TÉCNICOS ESPECIALIZADOSPARA ADEQUAÇÃO, MELHORIA E AUTOMAÇÃO DOS SERVIÇOS ATRAVÉS DA EMPRESA DE TECNOLOGIA DA INFORMAÇÃO DO CEARÁ-ETICE, RELATIVOS AO ANO DE 2024 E PARA ATENDER AO CONVÊNIO DEPEN-MJSP-PLATAFORMA + BRASIL Nº 937138/2022 FIRMADO COM O MINISTÉRIO DA JUSTIÇA E SEGURANÇA PÚBLICA E CONFORME CONTRATO 086/2024")</t>
  </si>
  <si>
    <t>EMPENHO REF. CURSO "CREDENCIAMENTO NA LEI Nº 14.133/2021 E NA LEI Nº 13.303/2012  COM ENFOQUE APLICADO  DE ACORDO COM O DECRETO Nº 11.878/2024", PARA 06 (SEIS) SERVIDORES DO MPCE, POR INEXIGIBILIDADE DE LICITAÇÃO, CONF. ORDEM DE SERVIÇO 006/2024/SEAC.</t>
  </si>
  <si>
    <t>ZENITE INFORMAÇÃO E CONSULTORIA S/A</t>
  </si>
  <si>
    <t>EMPENHO REF. FORNECIMENTO DE CESTAS CONTENDO PRODUTOS DIVERSOS, PARA ATENDER À DEMANDA DO INTEGRA MPCE DE NATAL, POR MEIO DE DISPENSA DE LICITAÇÃO, REF. DEZ/2024, POR ESTIMATIVA.</t>
  </si>
  <si>
    <t>CHRISTIANE VIEIRA RODRIGUES LEAL LTDA</t>
  </si>
  <si>
    <t>21486417353</t>
  </si>
  <si>
    <t>1201953308</t>
  </si>
  <si>
    <t>10967226000110</t>
  </si>
  <si>
    <t>10889470000101</t>
  </si>
  <si>
    <t>86781069000115</t>
  </si>
  <si>
    <t>9149100000159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</si>
</sst>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9"/>
      <name val="Arial"/>
      <family val="2"/>
    </font>
    <font>
      <u/>
      <sz val="11"/>
      <color theme="10"/>
      <name val="Calibri"/>
      <family val="2"/>
      <scheme val="minor"/>
    </font>
    <font>
      <sz val="10"/>
      <color rgb="FF000000"/>
      <name val="Arial"/>
      <family val="2"/>
      <charset val="1"/>
    </font>
    <font>
      <sz val="8"/>
      <name val="Arial"/>
      <family val="2"/>
    </font>
    <font>
      <u/>
      <sz val="8"/>
      <color theme="10"/>
      <name val="Arial"/>
      <family val="2"/>
    </font>
    <font>
      <sz val="10"/>
      <name val="Arial"/>
      <family val="2"/>
    </font>
    <font>
      <u/>
      <sz val="10"/>
      <color theme="10"/>
      <name val="Arial"/>
      <family val="2"/>
    </font>
    <font>
      <sz val="8"/>
      <name val="Calibri"/>
      <family val="2"/>
      <scheme val="minor"/>
    </font>
  </fonts>
  <fills count="4">
    <fill>
      <patternFill patternType="none"/>
    </fill>
    <fill>
      <patternFill patternType="gray125"/>
    </fill>
    <fill>
      <patternFill patternType="solid">
        <fgColor rgb="FFFFFF00"/>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vertical="center" wrapText="1" justifyLastLine="1"/>
    </xf>
    <xf numFmtId="0" fontId="4" fillId="0" borderId="1" xfId="0" applyFont="1" applyBorder="1" applyAlignment="1">
      <alignment horizontal="center" vertical="center" wrapText="1" justifyLastLine="1"/>
    </xf>
    <xf numFmtId="0" fontId="5" fillId="0" borderId="1" xfId="1" applyFont="1" applyBorder="1" applyAlignment="1">
      <alignment horizontal="center" vertical="center" wrapText="1" justifyLastLine="1"/>
    </xf>
    <xf numFmtId="14" fontId="4" fillId="0" borderId="1" xfId="0" applyNumberFormat="1" applyFont="1" applyBorder="1" applyAlignment="1">
      <alignment horizontal="center" vertical="center" wrapText="1" justifyLastLine="1"/>
    </xf>
    <xf numFmtId="0" fontId="7" fillId="0" borderId="1" xfId="1" applyFont="1" applyBorder="1" applyAlignment="1" applyProtection="1">
      <alignment horizontal="center" vertical="center"/>
    </xf>
    <xf numFmtId="4" fontId="3" fillId="3" borderId="1" xfId="0" applyNumberFormat="1" applyFont="1" applyFill="1" applyBorder="1" applyAlignment="1">
      <alignment horizontal="right" vertical="center"/>
    </xf>
    <xf numFmtId="0" fontId="3" fillId="0" borderId="1" xfId="0" applyFont="1" applyBorder="1" applyAlignment="1">
      <alignment horizontal="left" vertical="center" wrapText="1"/>
    </xf>
    <xf numFmtId="0" fontId="0" fillId="0" borderId="0" xfId="0" applyAlignment="1">
      <alignment wrapText="1"/>
    </xf>
    <xf numFmtId="49" fontId="1" fillId="2" borderId="1" xfId="0" applyNumberFormat="1" applyFont="1" applyFill="1" applyBorder="1" applyAlignment="1">
      <alignment horizontal="center" vertical="center" wrapText="1" justifyLastLine="1"/>
    </xf>
    <xf numFmtId="49" fontId="3" fillId="0" borderId="1" xfId="0" applyNumberFormat="1" applyFont="1" applyBorder="1" applyAlignment="1">
      <alignment horizontal="right" vertical="center" wrapText="1"/>
    </xf>
    <xf numFmtId="49" fontId="0" fillId="0" borderId="0" xfId="0" applyNumberFormat="1"/>
    <xf numFmtId="0" fontId="3" fillId="0" borderId="1" xfId="0" applyFont="1" applyBorder="1" applyAlignment="1">
      <alignment vertical="center" wrapText="1"/>
    </xf>
    <xf numFmtId="4" fontId="0" fillId="0" borderId="0" xfId="0" applyNumberFormat="1"/>
    <xf numFmtId="0" fontId="2" fillId="0" borderId="1" xfId="1" applyBorder="1" applyAlignment="1" applyProtection="1">
      <alignment horizontal="center" vertical="center"/>
    </xf>
    <xf numFmtId="0" fontId="1" fillId="2" borderId="1" xfId="0" applyFont="1" applyFill="1" applyBorder="1" applyAlignment="1">
      <alignment horizontal="justify" vertical="center"/>
    </xf>
    <xf numFmtId="14" fontId="6" fillId="0" borderId="1" xfId="0" applyNumberFormat="1" applyFont="1" applyBorder="1" applyAlignment="1">
      <alignment horizontal="justify" vertical="center"/>
    </xf>
    <xf numFmtId="14" fontId="2" fillId="0" borderId="1" xfId="1" applyNumberFormat="1" applyBorder="1" applyAlignment="1">
      <alignment horizontal="justify" vertical="center"/>
    </xf>
    <xf numFmtId="0" fontId="0" fillId="0" borderId="0" xfId="0" applyAlignment="1">
      <alignment horizontal="justify"/>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7461D-646D-4E3D-8EEA-F1F2D9B59514}">
  <dimension ref="A1:Z1200"/>
  <sheetViews>
    <sheetView tabSelected="1" topLeftCell="A124" workbookViewId="0">
      <selection activeCell="E1" sqref="E1:E1048576"/>
    </sheetView>
  </sheetViews>
  <sheetFormatPr defaultRowHeight="15" x14ac:dyDescent="0.25"/>
  <cols>
    <col min="1" max="1" width="21" style="8" customWidth="1"/>
    <col min="2" max="2" width="26.140625" style="8" customWidth="1"/>
    <col min="3" max="3" width="23.140625" customWidth="1"/>
    <col min="4" max="4" width="22.7109375" customWidth="1"/>
    <col min="5" max="5" width="58" style="18" customWidth="1"/>
    <col min="6" max="6" width="24.7109375" customWidth="1"/>
    <col min="7" max="7" width="18.7109375" customWidth="1"/>
    <col min="8" max="8" width="18" customWidth="1"/>
    <col min="9" max="9" width="30" style="8" customWidth="1"/>
    <col min="10" max="10" width="23.85546875" style="11" customWidth="1"/>
    <col min="11" max="24" width="9.140625" hidden="1" customWidth="1"/>
    <col min="25" max="28" width="0" hidden="1" customWidth="1"/>
  </cols>
  <sheetData>
    <row r="1" spans="1:26" ht="24" x14ac:dyDescent="0.25">
      <c r="A1" s="1" t="s">
        <v>0</v>
      </c>
      <c r="B1" s="1" t="s">
        <v>1</v>
      </c>
      <c r="C1" s="1" t="s">
        <v>666</v>
      </c>
      <c r="D1" s="1" t="s">
        <v>2</v>
      </c>
      <c r="E1" s="15" t="s">
        <v>3</v>
      </c>
      <c r="F1" s="1" t="s">
        <v>4</v>
      </c>
      <c r="G1" s="1" t="s">
        <v>5</v>
      </c>
      <c r="H1" s="1" t="s">
        <v>6</v>
      </c>
      <c r="I1" s="1" t="s">
        <v>7</v>
      </c>
      <c r="J1" s="9" t="s">
        <v>8</v>
      </c>
    </row>
    <row r="2" spans="1:26" x14ac:dyDescent="0.25">
      <c r="A2" s="1" t="s">
        <v>757</v>
      </c>
      <c r="B2" s="1" t="s">
        <v>758</v>
      </c>
      <c r="C2" s="1" t="s">
        <v>759</v>
      </c>
      <c r="D2" s="1" t="s">
        <v>760</v>
      </c>
      <c r="E2" s="15" t="s">
        <v>761</v>
      </c>
      <c r="F2" s="1" t="s">
        <v>762</v>
      </c>
      <c r="G2" s="1" t="s">
        <v>763</v>
      </c>
      <c r="H2" s="1" t="s">
        <v>764</v>
      </c>
      <c r="I2" s="1" t="s">
        <v>765</v>
      </c>
      <c r="J2" s="9" t="s">
        <v>766</v>
      </c>
    </row>
    <row r="3" spans="1:26" ht="38.25" x14ac:dyDescent="0.25">
      <c r="A3" s="12" t="s">
        <v>9</v>
      </c>
      <c r="B3" s="2" t="s">
        <v>10</v>
      </c>
      <c r="C3" s="3" t="str">
        <f>HYPERLINK("https://transparencia-area-fim.mpce.mp.br/#/consulta/processo/pastadigital/092024000020553","09.2024.00002055-3")</f>
        <v>09.2024.00002055-3</v>
      </c>
      <c r="D3" s="4">
        <v>45317</v>
      </c>
      <c r="E3" s="16" t="s">
        <v>12</v>
      </c>
      <c r="F3" s="2" t="s">
        <v>59</v>
      </c>
      <c r="G3" s="5" t="str">
        <f>HYPERLINK("http://www8.mpce.mp.br/Empenhos/150001/NE/2024NE000002.pdf","2024NE000002")</f>
        <v>2024NE000002</v>
      </c>
      <c r="H3" s="6">
        <v>300</v>
      </c>
      <c r="I3" s="7" t="s">
        <v>14</v>
      </c>
      <c r="J3" s="10" t="s">
        <v>15</v>
      </c>
      <c r="K3" t="s">
        <v>15</v>
      </c>
      <c r="L3" t="s">
        <v>40</v>
      </c>
      <c r="M3" t="s">
        <v>12</v>
      </c>
      <c r="N3" t="s">
        <v>41</v>
      </c>
      <c r="O3" t="s">
        <v>11</v>
      </c>
      <c r="P3">
        <v>339039</v>
      </c>
      <c r="Q3">
        <v>14</v>
      </c>
      <c r="R3">
        <v>218444</v>
      </c>
      <c r="S3" t="s">
        <v>13</v>
      </c>
      <c r="T3" t="s">
        <v>42</v>
      </c>
      <c r="U3" t="s">
        <v>42</v>
      </c>
      <c r="W3" t="s">
        <v>43</v>
      </c>
      <c r="Y3" t="s">
        <v>13</v>
      </c>
      <c r="Z3" t="s">
        <v>11</v>
      </c>
    </row>
    <row r="4" spans="1:26" ht="38.25" x14ac:dyDescent="0.25">
      <c r="A4" s="12" t="s">
        <v>9</v>
      </c>
      <c r="B4" s="2" t="s">
        <v>10</v>
      </c>
      <c r="C4" s="3" t="str">
        <f>HYPERLINK("https://transparencia-area-fim.mpce.mp.br/#/consulta/processo/pastadigital/092024000020564","09.2024.00002056-4")</f>
        <v>09.2024.00002056-4</v>
      </c>
      <c r="D4" s="4">
        <v>45317</v>
      </c>
      <c r="E4" s="16" t="s">
        <v>17</v>
      </c>
      <c r="F4" s="2" t="s">
        <v>59</v>
      </c>
      <c r="G4" s="5" t="str">
        <f>HYPERLINK("http://www8.mpce.mp.br/Empenhos/150001/NE/2024NE000003.pdf","2024NE000003")</f>
        <v>2024NE000003</v>
      </c>
      <c r="H4" s="6">
        <v>1050</v>
      </c>
      <c r="I4" s="7" t="s">
        <v>19</v>
      </c>
      <c r="J4" s="10" t="s">
        <v>20</v>
      </c>
      <c r="K4" t="s">
        <v>23</v>
      </c>
      <c r="L4" t="s">
        <v>40</v>
      </c>
      <c r="M4" t="s">
        <v>21</v>
      </c>
      <c r="N4" t="s">
        <v>46</v>
      </c>
      <c r="O4" t="s">
        <v>55</v>
      </c>
      <c r="P4">
        <v>339040</v>
      </c>
      <c r="Q4">
        <v>78</v>
      </c>
      <c r="R4">
        <v>308007</v>
      </c>
      <c r="S4" t="s">
        <v>18</v>
      </c>
      <c r="T4" t="s">
        <v>47</v>
      </c>
      <c r="U4" t="s">
        <v>55</v>
      </c>
      <c r="W4" t="s">
        <v>56</v>
      </c>
      <c r="X4" t="s">
        <v>57</v>
      </c>
      <c r="Y4" t="s">
        <v>18</v>
      </c>
      <c r="Z4" t="s">
        <v>55</v>
      </c>
    </row>
    <row r="5" spans="1:26" ht="51" x14ac:dyDescent="0.25">
      <c r="A5" s="12" t="s">
        <v>9</v>
      </c>
      <c r="B5" s="2" t="s">
        <v>10</v>
      </c>
      <c r="C5" s="3" t="str">
        <f>HYPERLINK("https://transparencia-area-fim.mpce.mp.br/#/consulta/processo/pastadigital/092021000000456","09.2021.00000045-6")</f>
        <v>09.2021.00000045-6</v>
      </c>
      <c r="D5" s="4">
        <v>45316</v>
      </c>
      <c r="E5" s="16" t="str">
        <f>HYPERLINK("https://www8.mpce.mp.br/Empenhos/150001/Objeto/02-2021.pdf","SERVIÇOS DE SUPORTE TÉCNICO DA SOLUÇÃO GUARDIÃO WEB-BY, CONMFORME CONTRATO 02/2021 E PROJETO 19/2023. POR ESTIMATIVA  PARA OS MESES DE JANEIRO A MARÇO DE 2024.")</f>
        <v>SERVIÇOS DE SUPORTE TÉCNICO DA SOLUÇÃO GUARDIÃO WEB-BY, CONMFORME CONTRATO 02/2021 E PROJETO 19/2023. POR ESTIMATIVA  PARA OS MESES DE JANEIRO A MARÇO DE 2024.</v>
      </c>
      <c r="F5" s="2" t="s">
        <v>60</v>
      </c>
      <c r="G5" s="5" t="str">
        <f>HYPERLINK("http://www8.mpce.mp.br/Empenhos/150501/NE/2024NE000003.pdf","2024NE000003")</f>
        <v>2024NE000003</v>
      </c>
      <c r="H5" s="6">
        <v>54790.38</v>
      </c>
      <c r="I5" s="7" t="s">
        <v>22</v>
      </c>
      <c r="J5" s="10" t="s">
        <v>23</v>
      </c>
      <c r="K5" t="s">
        <v>20</v>
      </c>
      <c r="L5" t="s">
        <v>40</v>
      </c>
      <c r="M5" t="s">
        <v>17</v>
      </c>
      <c r="N5" t="s">
        <v>44</v>
      </c>
      <c r="O5" t="s">
        <v>16</v>
      </c>
      <c r="P5">
        <v>339039</v>
      </c>
      <c r="Q5">
        <v>14</v>
      </c>
      <c r="R5">
        <v>218444</v>
      </c>
      <c r="S5" t="s">
        <v>18</v>
      </c>
      <c r="T5" t="s">
        <v>42</v>
      </c>
      <c r="U5" t="s">
        <v>42</v>
      </c>
      <c r="W5" t="s">
        <v>45</v>
      </c>
      <c r="Y5" t="s">
        <v>18</v>
      </c>
      <c r="Z5" t="s">
        <v>16</v>
      </c>
    </row>
    <row r="6" spans="1:26" ht="38.25" x14ac:dyDescent="0.25">
      <c r="A6" s="12" t="s">
        <v>9</v>
      </c>
      <c r="B6" s="2" t="s">
        <v>10</v>
      </c>
      <c r="C6" s="3" t="str">
        <f>HYPERLINK("https://transparencia-area-fim.mpce.mp.br/#/consulta/processo/pastadigital/092024000020542","09.2024.00002054-2")</f>
        <v>09.2024.00002054-2</v>
      </c>
      <c r="D6" s="4">
        <v>45317</v>
      </c>
      <c r="E6" s="16" t="s">
        <v>25</v>
      </c>
      <c r="F6" s="2" t="s">
        <v>59</v>
      </c>
      <c r="G6" s="5" t="str">
        <f>HYPERLINK("http://www8.mpce.mp.br/Empenhos/150001/NE/2024NE000004.pdf","2024NE000004")</f>
        <v>2024NE000004</v>
      </c>
      <c r="H6" s="6">
        <v>900</v>
      </c>
      <c r="I6" s="7" t="s">
        <v>27</v>
      </c>
      <c r="J6" s="10" t="s">
        <v>28</v>
      </c>
      <c r="K6" t="s">
        <v>28</v>
      </c>
      <c r="L6" t="s">
        <v>40</v>
      </c>
      <c r="M6" t="s">
        <v>25</v>
      </c>
      <c r="N6" t="s">
        <v>48</v>
      </c>
      <c r="O6" t="s">
        <v>24</v>
      </c>
      <c r="P6">
        <v>339039</v>
      </c>
      <c r="Q6">
        <v>14</v>
      </c>
      <c r="R6">
        <v>218444</v>
      </c>
      <c r="S6" t="s">
        <v>26</v>
      </c>
      <c r="T6" t="s">
        <v>42</v>
      </c>
      <c r="U6" t="s">
        <v>42</v>
      </c>
      <c r="W6" t="s">
        <v>49</v>
      </c>
      <c r="Y6" t="s">
        <v>26</v>
      </c>
      <c r="Z6" t="s">
        <v>24</v>
      </c>
    </row>
    <row r="7" spans="1:26" ht="38.25" x14ac:dyDescent="0.25">
      <c r="A7" s="12" t="s">
        <v>9</v>
      </c>
      <c r="B7" s="2" t="s">
        <v>10</v>
      </c>
      <c r="C7" s="3" t="str">
        <f>HYPERLINK("https://transparencia-area-fim.mpce.mp.br/#/consulta/processo/pastadigital/092024000020531","09.2024.00002053-1")</f>
        <v>09.2024.00002053-1</v>
      </c>
      <c r="D7" s="4">
        <v>45317</v>
      </c>
      <c r="E7" s="16" t="s">
        <v>30</v>
      </c>
      <c r="F7" s="2" t="s">
        <v>59</v>
      </c>
      <c r="G7" s="5" t="str">
        <f>HYPERLINK("http://www8.mpce.mp.br/Empenhos/150001/NE/2024NE000005.pdf","2024NE000005")</f>
        <v>2024NE000005</v>
      </c>
      <c r="H7" s="6">
        <v>450</v>
      </c>
      <c r="I7" s="7" t="s">
        <v>32</v>
      </c>
      <c r="J7" s="10" t="s">
        <v>33</v>
      </c>
      <c r="K7" t="s">
        <v>33</v>
      </c>
      <c r="L7" t="s">
        <v>40</v>
      </c>
      <c r="M7" t="s">
        <v>30</v>
      </c>
      <c r="N7" t="s">
        <v>50</v>
      </c>
      <c r="O7" t="s">
        <v>29</v>
      </c>
      <c r="P7">
        <v>339039</v>
      </c>
      <c r="Q7">
        <v>14</v>
      </c>
      <c r="R7">
        <v>218444</v>
      </c>
      <c r="S7" t="s">
        <v>31</v>
      </c>
      <c r="T7" t="s">
        <v>42</v>
      </c>
      <c r="U7" t="s">
        <v>42</v>
      </c>
      <c r="W7" t="s">
        <v>51</v>
      </c>
      <c r="Y7" t="s">
        <v>31</v>
      </c>
      <c r="Z7" t="s">
        <v>29</v>
      </c>
    </row>
    <row r="8" spans="1:26" ht="51" x14ac:dyDescent="0.25">
      <c r="A8" s="12" t="s">
        <v>34</v>
      </c>
      <c r="B8" s="2" t="s">
        <v>35</v>
      </c>
      <c r="C8" s="3" t="str">
        <f>HYPERLINK("https://transparencia-area-fim.mpce.mp.br/#/consulta/processo/pastadigital/092021000157125","09.2021.00015712-5")</f>
        <v>09.2021.00015712-5</v>
      </c>
      <c r="D8" s="4">
        <v>45316</v>
      </c>
      <c r="E8" s="16" t="str">
        <f>HYPERLINK("https://www8.mpce.mp.br/Empenhos/150001/Objeto/32-2021.pdf","SEGUROS DE VIDA DOS ESTAGIÁRIOS DESTE MP-CE, RELATIVOS AOS MESES DE JANEIRO A MARÇO/2024 POR ESTIMATIVA, CONFORME CONTRATO 32/2021 E PROJETO 27/2023")</f>
        <v>SEGUROS DE VIDA DOS ESTAGIÁRIOS DESTE MP-CE, RELATIVOS AOS MESES DE JANEIRO A MARÇO/2024 POR ESTIMATIVA, CONFORME CONTRATO 32/2021 E PROJETO 27/2023</v>
      </c>
      <c r="F8" s="2" t="s">
        <v>61</v>
      </c>
      <c r="G8" s="5" t="str">
        <f>HYPERLINK("http://www8.mpce.mp.br/Empenhos/150501/NE/2024NE000005.pdf","2024NE000005")</f>
        <v>2024NE000005</v>
      </c>
      <c r="H8" s="6">
        <v>200</v>
      </c>
      <c r="I8" s="7" t="s">
        <v>38</v>
      </c>
      <c r="J8" s="10" t="s">
        <v>39</v>
      </c>
      <c r="K8" t="s">
        <v>39</v>
      </c>
      <c r="L8" t="s">
        <v>40</v>
      </c>
      <c r="M8" t="s">
        <v>37</v>
      </c>
      <c r="N8" t="s">
        <v>52</v>
      </c>
      <c r="O8" t="s">
        <v>36</v>
      </c>
      <c r="P8">
        <v>339039</v>
      </c>
      <c r="Q8">
        <v>14</v>
      </c>
      <c r="R8">
        <v>222686</v>
      </c>
      <c r="S8" t="s">
        <v>31</v>
      </c>
      <c r="T8" t="s">
        <v>53</v>
      </c>
      <c r="U8" t="s">
        <v>36</v>
      </c>
      <c r="W8" t="s">
        <v>54</v>
      </c>
      <c r="X8" t="s">
        <v>58</v>
      </c>
      <c r="Y8" t="s">
        <v>31</v>
      </c>
      <c r="Z8" t="s">
        <v>36</v>
      </c>
    </row>
    <row r="9" spans="1:26" ht="38.25" x14ac:dyDescent="0.25">
      <c r="A9" s="12" t="s">
        <v>9</v>
      </c>
      <c r="B9" s="2" t="s">
        <v>10</v>
      </c>
      <c r="C9" s="3" t="str">
        <f>HYPERLINK("https://transparencia-area-fim.mpce.mp.br/#/consulta/processo/pastadigital/092024000020510","09.2024.00002051-0")</f>
        <v>09.2024.00002051-0</v>
      </c>
      <c r="D9" s="4">
        <v>45316</v>
      </c>
      <c r="E9" s="16" t="s">
        <v>62</v>
      </c>
      <c r="F9" s="2" t="s">
        <v>59</v>
      </c>
      <c r="G9" s="5" t="str">
        <f>HYPERLINK("http://www8.mpce.mp.br/Empenhos/150001/NE/2024NE000006.pdf","2024NE000006")</f>
        <v>2024NE000006</v>
      </c>
      <c r="H9" s="6">
        <v>150</v>
      </c>
      <c r="I9" s="7" t="s">
        <v>63</v>
      </c>
      <c r="J9" s="10" t="s">
        <v>64</v>
      </c>
    </row>
    <row r="10" spans="1:26" ht="38.25" x14ac:dyDescent="0.25">
      <c r="A10" s="12" t="s">
        <v>9</v>
      </c>
      <c r="B10" s="2" t="s">
        <v>10</v>
      </c>
      <c r="C10" s="3" t="str">
        <f>HYPERLINK("https://transparencia-area-fim.mpce.mp.br/#/consulta/processo/pastadigital/092024000020509","09.2024.00002050-9")</f>
        <v>09.2024.00002050-9</v>
      </c>
      <c r="D10" s="4">
        <v>45317</v>
      </c>
      <c r="E10" s="16" t="s">
        <v>65</v>
      </c>
      <c r="F10" s="2" t="s">
        <v>59</v>
      </c>
      <c r="G10" s="5" t="str">
        <f>HYPERLINK("http://www8.mpce.mp.br/Empenhos/150001/NE/2024NE000007.pdf","2024NE000007")</f>
        <v>2024NE000007</v>
      </c>
      <c r="H10" s="6">
        <v>300</v>
      </c>
      <c r="I10" s="7" t="s">
        <v>66</v>
      </c>
      <c r="J10" s="10" t="s">
        <v>67</v>
      </c>
    </row>
    <row r="11" spans="1:26" ht="38.25" x14ac:dyDescent="0.25">
      <c r="A11" s="12" t="s">
        <v>9</v>
      </c>
      <c r="B11" s="2" t="s">
        <v>10</v>
      </c>
      <c r="C11" s="3" t="str">
        <f>HYPERLINK("https://transparencia-area-fim.mpce.mp.br/#/consulta/processo/pastadigital/092024000020475","09.2024.00002047-5")</f>
        <v>09.2024.00002047-5</v>
      </c>
      <c r="D11" s="4">
        <v>45316</v>
      </c>
      <c r="E11" s="16" t="s">
        <v>68</v>
      </c>
      <c r="F11" s="2" t="s">
        <v>59</v>
      </c>
      <c r="G11" s="5" t="str">
        <f>HYPERLINK("http://www8.mpce.mp.br/Empenhos/150001/NE/2024NE000008.pdf","2024NE000008")</f>
        <v>2024NE000008</v>
      </c>
      <c r="H11" s="6">
        <v>1800</v>
      </c>
      <c r="I11" s="7" t="s">
        <v>69</v>
      </c>
      <c r="J11" s="10" t="s">
        <v>70</v>
      </c>
    </row>
    <row r="12" spans="1:26" ht="51" x14ac:dyDescent="0.25">
      <c r="A12" s="12" t="s">
        <v>9</v>
      </c>
      <c r="B12" s="2" t="s">
        <v>10</v>
      </c>
      <c r="C12" s="3" t="str">
        <f>HYPERLINK("http://www8.mpce.mp.br/Inexigibilidade/2903020176.pdf","29030/2017-6")</f>
        <v>29030/2017-6</v>
      </c>
      <c r="D12" s="4">
        <v>45316</v>
      </c>
      <c r="E12" s="16" t="str">
        <f>HYPERLINK("https://www8.mpce.mp.br/Empenhos/150001/Objeto/31-2018.pdf","SERVIÇOS DE SUSTENTAÇÃO SAJ-MP POR ESTIMATIVA, CONFORME CONTRATO 031/2018 - PROJETO 052/2023 - REFERENTE AOS MESES DE JANEIRO, FEVEREIRO E MARÇO DE 2024.")</f>
        <v>SERVIÇOS DE SUSTENTAÇÃO SAJ-MP POR ESTIMATIVA, CONFORME CONTRATO 031/2018 - PROJETO 052/2023 - REFERENTE AOS MESES DE JANEIRO, FEVEREIRO E MARÇO DE 2024.</v>
      </c>
      <c r="F12" s="2" t="s">
        <v>71</v>
      </c>
      <c r="G12" s="5" t="str">
        <f>HYPERLINK("http://www8.mpce.mp.br/Empenhos/150501/NE/2024NE000008.pdf","2024NE000008")</f>
        <v>2024NE000008</v>
      </c>
      <c r="H12" s="6">
        <v>220467.36</v>
      </c>
      <c r="I12" s="7" t="s">
        <v>72</v>
      </c>
      <c r="J12" s="10" t="s">
        <v>73</v>
      </c>
    </row>
    <row r="13" spans="1:26" ht="51" x14ac:dyDescent="0.25">
      <c r="A13" s="12" t="s">
        <v>9</v>
      </c>
      <c r="B13" s="2" t="s">
        <v>10</v>
      </c>
      <c r="C13" s="3" t="str">
        <f>HYPERLINK("http://www8.mpce.mp.br/Inexigibilidade/2903020176.pdf","29030/2017-6")</f>
        <v>29030/2017-6</v>
      </c>
      <c r="D13" s="4">
        <v>45316</v>
      </c>
      <c r="E13" s="16" t="str">
        <f>HYPERLINK("https://www8.mpce.mp.br/Empenhos/150001/Objeto/31-2018.pdf","SERVIÇOS SOB DEMANDA SAJ-MP POR ESTIMATIVA, CONFORME CONTRATO 031/2018 - PROJETO 052/2023 - REFERENTE AOS MESES DE JANEIRO, FEVEREIRO E MARÇO DE 2024.")</f>
        <v>SERVIÇOS SOB DEMANDA SAJ-MP POR ESTIMATIVA, CONFORME CONTRATO 031/2018 - PROJETO 052/2023 - REFERENTE AOS MESES DE JANEIRO, FEVEREIRO E MARÇO DE 2024.</v>
      </c>
      <c r="F13" s="2" t="s">
        <v>71</v>
      </c>
      <c r="G13" s="5" t="str">
        <f>HYPERLINK("http://www8.mpce.mp.br/Empenhos/150501/NE/2024NE000009.pdf","2024NE000009")</f>
        <v>2024NE000009</v>
      </c>
      <c r="H13" s="6">
        <v>52217</v>
      </c>
      <c r="I13" s="7" t="s">
        <v>72</v>
      </c>
      <c r="J13" s="10" t="s">
        <v>73</v>
      </c>
    </row>
    <row r="14" spans="1:26" ht="38.25" x14ac:dyDescent="0.25">
      <c r="A14" s="12" t="s">
        <v>9</v>
      </c>
      <c r="B14" s="2" t="s">
        <v>10</v>
      </c>
      <c r="C14" s="3" t="str">
        <f>HYPERLINK("https://transparencia-area-fim.mpce.mp.br/#/consulta/processo/pastadigital/092024000020164","09.2024.00002016-4")</f>
        <v>09.2024.00002016-4</v>
      </c>
      <c r="D14" s="4">
        <v>45316</v>
      </c>
      <c r="E14" s="16" t="s">
        <v>74</v>
      </c>
      <c r="F14" s="2" t="s">
        <v>59</v>
      </c>
      <c r="G14" s="5" t="str">
        <f>HYPERLINK("http://www8.mpce.mp.br/Empenhos/150001/NE/2024NE000009.pdf","2024NE000009")</f>
        <v>2024NE000009</v>
      </c>
      <c r="H14" s="6">
        <v>300</v>
      </c>
      <c r="I14" s="7" t="s">
        <v>75</v>
      </c>
      <c r="J14" s="10" t="s">
        <v>76</v>
      </c>
    </row>
    <row r="15" spans="1:26" ht="51" x14ac:dyDescent="0.25">
      <c r="A15" s="12" t="s">
        <v>9</v>
      </c>
      <c r="B15" s="2" t="s">
        <v>10</v>
      </c>
      <c r="C15" s="3" t="str">
        <f>HYPERLINK("http://www8.mpce.mp.br/Inexigibilidade/2903020176.pdf","29030/2017-6")</f>
        <v>29030/2017-6</v>
      </c>
      <c r="D15" s="4">
        <v>45316</v>
      </c>
      <c r="E15" s="16" t="str">
        <f>HYPERLINK("https://www8.mpce.mp.br/Empenhos/150001/Objeto/31-2018.pdf","SERVIÇOS DE SUPORTE NÍVEL 1 DO SISTEMA SAJ-MP POR ESTIMATIVA, CONFORME CONTRATO 031/2018 - PROJETO 052/2023 - REFERENTE AOS MESES DE JANEIRO, FEVEREIRO E MARÇO DE 2024.")</f>
        <v>SERVIÇOS DE SUPORTE NÍVEL 1 DO SISTEMA SAJ-MP POR ESTIMATIVA, CONFORME CONTRATO 031/2018 - PROJETO 052/2023 - REFERENTE AOS MESES DE JANEIRO, FEVEREIRO E MARÇO DE 2024.</v>
      </c>
      <c r="F15" s="2" t="s">
        <v>71</v>
      </c>
      <c r="G15" s="5" t="str">
        <f>HYPERLINK("http://www8.mpce.mp.br/Empenhos/150501/NE/2024NE000010.pdf","2024NE000010")</f>
        <v>2024NE000010</v>
      </c>
      <c r="H15" s="6">
        <v>563056.98</v>
      </c>
      <c r="I15" s="7" t="s">
        <v>72</v>
      </c>
      <c r="J15" s="10" t="s">
        <v>73</v>
      </c>
    </row>
    <row r="16" spans="1:26" ht="38.25" x14ac:dyDescent="0.25">
      <c r="A16" s="12" t="s">
        <v>9</v>
      </c>
      <c r="B16" s="2" t="s">
        <v>10</v>
      </c>
      <c r="C16" s="3" t="str">
        <f>HYPERLINK("https://transparencia-area-fim.mpce.mp.br/#/consulta/processo/pastadigital/092024000019924","09.2024.00001992-4")</f>
        <v>09.2024.00001992-4</v>
      </c>
      <c r="D16" s="4">
        <v>45316</v>
      </c>
      <c r="E16" s="16" t="s">
        <v>77</v>
      </c>
      <c r="F16" s="2" t="s">
        <v>59</v>
      </c>
      <c r="G16" s="5" t="str">
        <f>HYPERLINK("http://www8.mpce.mp.br/Empenhos/150001/NE/2024NE000010.pdf","2024NE000010")</f>
        <v>2024NE000010</v>
      </c>
      <c r="H16" s="6">
        <v>600</v>
      </c>
      <c r="I16" s="7" t="s">
        <v>78</v>
      </c>
      <c r="J16" s="10" t="s">
        <v>79</v>
      </c>
    </row>
    <row r="17" spans="1:10" ht="51" x14ac:dyDescent="0.25">
      <c r="A17" s="12" t="s">
        <v>9</v>
      </c>
      <c r="B17" s="2" t="s">
        <v>10</v>
      </c>
      <c r="C17" s="3" t="str">
        <f>HYPERLINK("http://www8.mpce.mp.br/Inexigibilidade/2903020176.pdf","29030/2017-6")</f>
        <v>29030/2017-6</v>
      </c>
      <c r="D17" s="4">
        <v>45316</v>
      </c>
      <c r="E17" s="16" t="str">
        <f>HYPERLINK("https://www8.mpce.mp.br/Empenhos/150001/Objeto/31-2018.pdf","SERVIÇOS DE GARANTIA DE EVOLUÇÃO TECNOLÓGICA E FUNCIONAL SAJ-MP POR ESTIMATIVA, CONFORME CONTRATO 031/2018 - PROJETO 052/2023 - REFERENTE AOS MESES DE JANEIRO, FEVEREIRO E MARÇO DE 2024")</f>
        <v>SERVIÇOS DE GARANTIA DE EVOLUÇÃO TECNOLÓGICA E FUNCIONAL SAJ-MP POR ESTIMATIVA, CONFORME CONTRATO 031/2018 - PROJETO 052/2023 - REFERENTE AOS MESES DE JANEIRO, FEVEREIRO E MARÇO DE 2024</v>
      </c>
      <c r="F17" s="2" t="s">
        <v>71</v>
      </c>
      <c r="G17" s="5" t="str">
        <f>HYPERLINK("http://www8.mpce.mp.br/Empenhos/150501/NE/2024NE000011.pdf","2024NE000011")</f>
        <v>2024NE000011</v>
      </c>
      <c r="H17" s="6">
        <v>409439.37</v>
      </c>
      <c r="I17" s="7" t="s">
        <v>72</v>
      </c>
      <c r="J17" s="10" t="s">
        <v>73</v>
      </c>
    </row>
    <row r="18" spans="1:10" ht="51" x14ac:dyDescent="0.25">
      <c r="A18" s="12" t="s">
        <v>9</v>
      </c>
      <c r="B18" s="2" t="s">
        <v>80</v>
      </c>
      <c r="C18" s="3" t="str">
        <f>HYPERLINK("https://transparencia-area-fim.mpce.mp.br/#/consulta/processo/pastadigital/092022000255950","09.2022.00025595-0")</f>
        <v>09.2022.00025595-0</v>
      </c>
      <c r="D18" s="4">
        <v>45317</v>
      </c>
      <c r="E18" s="16" t="str">
        <f>HYPERLINK("https://www8.mpce.mp.br/Empenhos/150001/Objeto/27-2022.pdf","ETAPAS 3 E 4 DE ELABORAÇÃO DE PROJETOS EXPOGRÁFICOSV VOLTADO AO MEMORIAL DO MPCE, ALÉM DE ASSESSORIA P/ SITE, CONFORME CONTRATO 27/2022, POR ESTIMATIVA.")</f>
        <v>ETAPAS 3 E 4 DE ELABORAÇÃO DE PROJETOS EXPOGRÁFICOSV VOLTADO AO MEMORIAL DO MPCE, ALÉM DE ASSESSORIA P/ SITE, CONFORME CONTRATO 27/2022, POR ESTIMATIVA.</v>
      </c>
      <c r="F18" s="2" t="s">
        <v>81</v>
      </c>
      <c r="G18" s="5" t="str">
        <f>HYPERLINK("http://www8.mpce.mp.br/Empenhos/150001/NE/2024NE000011.pdf","2024NE000011")</f>
        <v>2024NE000011</v>
      </c>
      <c r="H18" s="6">
        <v>16000</v>
      </c>
      <c r="I18" s="7" t="s">
        <v>82</v>
      </c>
      <c r="J18" s="10" t="s">
        <v>83</v>
      </c>
    </row>
    <row r="19" spans="1:10" ht="63.75" x14ac:dyDescent="0.25">
      <c r="A19" s="12" t="s">
        <v>9</v>
      </c>
      <c r="B19" s="2" t="s">
        <v>10</v>
      </c>
      <c r="C19" s="3" t="str">
        <f>HYPERLINK("http://www8.mpce.mp.br/Inexigibilidade/2903020176.pdf","29030/2017-6")</f>
        <v>29030/2017-6</v>
      </c>
      <c r="D19" s="4">
        <v>45316</v>
      </c>
      <c r="E19" s="16" t="str">
        <f>HYPERLINK("https://www8.mpce.mp.br/Empenhos/150001/Objeto/31-2018.pdf","SERVIÇOS DE ACOMPANHAMENTO DA OPERAÇÃO E HOSPEDAGEM EM NUVEM SAJ-MP, POR ESTIMATIVA, CONFORME CONTRATO 031/2018 - PROJETO 052/2023 - REFERENTE AOS MESES DE JANEIRO, FEVEREIRO E MARÇO DE 2024")</f>
        <v>SERVIÇOS DE ACOMPANHAMENTO DA OPERAÇÃO E HOSPEDAGEM EM NUVEM SAJ-MP, POR ESTIMATIVA, CONFORME CONTRATO 031/2018 - PROJETO 052/2023 - REFERENTE AOS MESES DE JANEIRO, FEVEREIRO E MARÇO DE 2024</v>
      </c>
      <c r="F19" s="2" t="s">
        <v>71</v>
      </c>
      <c r="G19" s="5" t="str">
        <f>HYPERLINK("http://www8.mpce.mp.br/Empenhos/150501/NE/2024NE000012.pdf","2024NE000012")</f>
        <v>2024NE000012</v>
      </c>
      <c r="H19" s="6">
        <v>493161.21</v>
      </c>
      <c r="I19" s="7" t="s">
        <v>72</v>
      </c>
      <c r="J19" s="10" t="s">
        <v>73</v>
      </c>
    </row>
    <row r="20" spans="1:10" ht="38.25" x14ac:dyDescent="0.25">
      <c r="A20" s="12" t="s">
        <v>9</v>
      </c>
      <c r="B20" s="2" t="s">
        <v>10</v>
      </c>
      <c r="C20" s="3" t="str">
        <f>HYPERLINK("https://transparencia-area-fim.mpce.mp.br/#/consulta/processo/pastadigital/092024000019902","09.2024.00001990-2")</f>
        <v>09.2024.00001990-2</v>
      </c>
      <c r="D20" s="4">
        <v>45317</v>
      </c>
      <c r="E20" s="16" t="s">
        <v>84</v>
      </c>
      <c r="F20" s="2" t="s">
        <v>59</v>
      </c>
      <c r="G20" s="5" t="str">
        <f>HYPERLINK("http://www8.mpce.mp.br/Empenhos/150001/NE/2024NE000012.pdf","2024NE000012")</f>
        <v>2024NE000012</v>
      </c>
      <c r="H20" s="6">
        <v>150</v>
      </c>
      <c r="I20" s="7" t="s">
        <v>85</v>
      </c>
      <c r="J20" s="10" t="s">
        <v>86</v>
      </c>
    </row>
    <row r="21" spans="1:10" ht="38.25" x14ac:dyDescent="0.25">
      <c r="A21" s="12" t="s">
        <v>34</v>
      </c>
      <c r="B21" s="2" t="s">
        <v>87</v>
      </c>
      <c r="C21" s="3" t="str">
        <f>HYPERLINK("https://transparencia-area-fim.mpce.mp.br/#/consulta/processo/pastadigital/092020000071437","09.2020.00007143-7")</f>
        <v>09.2020.00007143-7</v>
      </c>
      <c r="D21" s="4">
        <v>45317</v>
      </c>
      <c r="E21" s="16" t="str">
        <f>HYPERLINK("https://www8.mpce.mp.br/Empenhos/150001/Objeto/23-2020.pdf","SERVIÇOS DE CORREIOS , POR ESTIMATIVA, RELATIVOS AOS MESES DE JANEIRO A MARÇO/2024, CONFORME CONTRATO 023/202")</f>
        <v>SERVIÇOS DE CORREIOS , POR ESTIMATIVA, RELATIVOS AOS MESES DE JANEIRO A MARÇO/2024, CONFORME CONTRATO 023/202</v>
      </c>
      <c r="F21" s="2" t="s">
        <v>88</v>
      </c>
      <c r="G21" s="5" t="str">
        <f>HYPERLINK("http://www8.mpce.mp.br/Empenhos/150001/NE/2024NE000013.pdf","2024NE000013")</f>
        <v>2024NE000013</v>
      </c>
      <c r="H21" s="6">
        <v>60000</v>
      </c>
      <c r="I21" s="7" t="s">
        <v>89</v>
      </c>
      <c r="J21" s="10" t="s">
        <v>90</v>
      </c>
    </row>
    <row r="22" spans="1:10" ht="38.25" x14ac:dyDescent="0.25">
      <c r="A22" s="12" t="s">
        <v>9</v>
      </c>
      <c r="B22" s="2" t="s">
        <v>10</v>
      </c>
      <c r="C22" s="3" t="str">
        <f>HYPERLINK("https://transparencia-area-fim.mpce.mp.br/#/consulta/processo/pastadigital/092024000019746","09.2024.00001974-6")</f>
        <v>09.2024.00001974-6</v>
      </c>
      <c r="D22" s="4">
        <v>45317</v>
      </c>
      <c r="E22" s="16" t="s">
        <v>91</v>
      </c>
      <c r="F22" s="2" t="s">
        <v>59</v>
      </c>
      <c r="G22" s="5" t="str">
        <f>HYPERLINK("http://www8.mpce.mp.br/Empenhos/150001/NE/2024NE000015.pdf","2024NE000015")</f>
        <v>2024NE000015</v>
      </c>
      <c r="H22" s="6">
        <v>117.84</v>
      </c>
      <c r="I22" s="7" t="s">
        <v>92</v>
      </c>
      <c r="J22" s="10" t="s">
        <v>93</v>
      </c>
    </row>
    <row r="23" spans="1:10" ht="38.25" x14ac:dyDescent="0.25">
      <c r="A23" s="12" t="s">
        <v>9</v>
      </c>
      <c r="B23" s="2" t="s">
        <v>10</v>
      </c>
      <c r="C23" s="3" t="str">
        <f>HYPERLINK("https://transparencia-area-fim.mpce.mp.br/#/consulta/processo/pastadigital/092024000019790","09.2024.00001979-0")</f>
        <v>09.2024.00001979-0</v>
      </c>
      <c r="D23" s="4">
        <v>45317</v>
      </c>
      <c r="E23" s="16" t="s">
        <v>94</v>
      </c>
      <c r="F23" s="2" t="s">
        <v>59</v>
      </c>
      <c r="G23" s="5" t="str">
        <f>HYPERLINK("http://www8.mpce.mp.br/Empenhos/150001/NE/2024NE000016.pdf","2024NE000016")</f>
        <v>2024NE000016</v>
      </c>
      <c r="H23" s="6">
        <v>1200</v>
      </c>
      <c r="I23" s="7" t="s">
        <v>95</v>
      </c>
      <c r="J23" s="10" t="s">
        <v>96</v>
      </c>
    </row>
    <row r="24" spans="1:10" ht="38.25" x14ac:dyDescent="0.25">
      <c r="A24" s="12" t="s">
        <v>9</v>
      </c>
      <c r="B24" s="2" t="s">
        <v>10</v>
      </c>
      <c r="C24" s="3" t="str">
        <f>HYPERLINK("https://transparencia-area-fim.mpce.mp.br/#/consulta/processo/pastadigital/092024000020575","09.2024.00002057-5")</f>
        <v>09.2024.00002057-5</v>
      </c>
      <c r="D24" s="4">
        <v>45317</v>
      </c>
      <c r="E24" s="16" t="s">
        <v>97</v>
      </c>
      <c r="F24" s="2" t="s">
        <v>59</v>
      </c>
      <c r="G24" s="5" t="str">
        <f>HYPERLINK("http://www8.mpce.mp.br/Empenhos/150001/NE/2024NE000017.pdf","2024NE000017")</f>
        <v>2024NE000017</v>
      </c>
      <c r="H24" s="6">
        <v>3000</v>
      </c>
      <c r="I24" s="7" t="s">
        <v>98</v>
      </c>
      <c r="J24" s="10" t="s">
        <v>99</v>
      </c>
    </row>
    <row r="25" spans="1:10" ht="38.25" x14ac:dyDescent="0.25">
      <c r="A25" s="12" t="s">
        <v>9</v>
      </c>
      <c r="B25" s="2" t="s">
        <v>10</v>
      </c>
      <c r="C25" s="3" t="str">
        <f>HYPERLINK("https://transparencia-area-fim.mpce.mp.br/#/consulta/processo/pastadigital/092024000020597","09.2024.00002059-7")</f>
        <v>09.2024.00002059-7</v>
      </c>
      <c r="D25" s="4">
        <v>45316</v>
      </c>
      <c r="E25" s="16" t="s">
        <v>100</v>
      </c>
      <c r="F25" s="2" t="s">
        <v>59</v>
      </c>
      <c r="G25" s="5" t="str">
        <f>HYPERLINK("http://www8.mpce.mp.br/Empenhos/150001/NE/2024NE000018.pdf","2024NE000018")</f>
        <v>2024NE000018</v>
      </c>
      <c r="H25" s="6">
        <v>450</v>
      </c>
      <c r="I25" s="7" t="s">
        <v>101</v>
      </c>
      <c r="J25" s="10" t="s">
        <v>102</v>
      </c>
    </row>
    <row r="26" spans="1:10" ht="51" x14ac:dyDescent="0.25">
      <c r="A26" s="12" t="s">
        <v>9</v>
      </c>
      <c r="B26" s="2" t="s">
        <v>10</v>
      </c>
      <c r="C26" s="3" t="str">
        <f>HYPERLINK("https://transparencia-area-fim.mpce.mp.br/#/consulta/processo/pastadigital/092024000020609","09.2024.00002060-9")</f>
        <v>09.2024.00002060-9</v>
      </c>
      <c r="D26" s="4">
        <v>45316</v>
      </c>
      <c r="E26" s="16" t="s">
        <v>103</v>
      </c>
      <c r="F26" s="2" t="s">
        <v>59</v>
      </c>
      <c r="G26" s="5" t="str">
        <f>HYPERLINK("http://www8.mpce.mp.br/Empenhos/150001/NE/2024NE000019.pdf","2024NE000019")</f>
        <v>2024NE000019</v>
      </c>
      <c r="H26" s="6">
        <v>135000</v>
      </c>
      <c r="I26" s="7" t="s">
        <v>104</v>
      </c>
      <c r="J26" s="10" t="s">
        <v>105</v>
      </c>
    </row>
    <row r="27" spans="1:10" ht="38.25" x14ac:dyDescent="0.25">
      <c r="A27" s="12" t="s">
        <v>9</v>
      </c>
      <c r="B27" s="2" t="s">
        <v>10</v>
      </c>
      <c r="C27" s="3" t="str">
        <f>HYPERLINK("https://transparencia-area-fim.mpce.mp.br/#/consulta/processo/pastadigital/092024000019880","09.2024.00001988-0")</f>
        <v>09.2024.00001988-0</v>
      </c>
      <c r="D27" s="4">
        <v>45316</v>
      </c>
      <c r="E27" s="16" t="s">
        <v>106</v>
      </c>
      <c r="F27" s="2" t="s">
        <v>59</v>
      </c>
      <c r="G27" s="5" t="str">
        <f>HYPERLINK("http://www8.mpce.mp.br/Empenhos/150001/NE/2024NE000020.pdf","2024NE000020")</f>
        <v>2024NE000020</v>
      </c>
      <c r="H27" s="6">
        <v>450</v>
      </c>
      <c r="I27" s="7" t="s">
        <v>107</v>
      </c>
      <c r="J27" s="10" t="s">
        <v>108</v>
      </c>
    </row>
    <row r="28" spans="1:10" ht="63.75" x14ac:dyDescent="0.25">
      <c r="A28" s="12" t="s">
        <v>9</v>
      </c>
      <c r="B28" s="2" t="s">
        <v>10</v>
      </c>
      <c r="C28" s="3" t="str">
        <f>HYPERLINK("https://transparencia-area-fim.mpce.mp.br/#/consulta/processo/pastadigital/092023000287946","09.2023.00028794-6")</f>
        <v>09.2023.00028794-6</v>
      </c>
      <c r="D28" s="4">
        <v>45320</v>
      </c>
      <c r="E28" s="16" t="str">
        <f>HYPERLINK("https://www8.mpce.mp.br/Empenhos/150001/Objeto/59-2023.pdf","LICENÇAS DE SOFTWARE, CICLO DE AVALIAÇÃO(PARCELA UNICA) E SKILLING DE RECURSOS DE APRENDIZAGEM(PARCELA UNICA), CONFORME CONTRATO 059/2023, POR ESTIMATIVA PARA OS MESES DE JANEIRO A MARÇO/2024. PROJETO 65/2023.")</f>
        <v>LICENÇAS DE SOFTWARE, CICLO DE AVALIAÇÃO(PARCELA UNICA) E SKILLING DE RECURSOS DE APRENDIZAGEM(PARCELA UNICA), CONFORME CONTRATO 059/2023, POR ESTIMATIVA PARA OS MESES DE JANEIRO A MARÇO/2024. PROJETO 65/2023.</v>
      </c>
      <c r="F28" s="2" t="s">
        <v>109</v>
      </c>
      <c r="G28" s="5" t="str">
        <f>HYPERLINK("http://www8.mpce.mp.br/Empenhos/150501/NE/2024NE000021.pdf","2024NE000021")</f>
        <v>2024NE000021</v>
      </c>
      <c r="H28" s="6">
        <v>38594.5</v>
      </c>
      <c r="I28" s="7" t="s">
        <v>110</v>
      </c>
      <c r="J28" s="10" t="s">
        <v>111</v>
      </c>
    </row>
    <row r="29" spans="1:10" ht="63.75" x14ac:dyDescent="0.25">
      <c r="A29" s="12" t="s">
        <v>9</v>
      </c>
      <c r="B29" s="2" t="s">
        <v>112</v>
      </c>
      <c r="C29" s="3" t="str">
        <f>HYPERLINK("https://transparencia-area-fim.mpce.mp.br/#/consulta/processo/pastadigital/092023000079630","09.2023.00007963-0")</f>
        <v>09.2023.00007963-0</v>
      </c>
      <c r="D29" s="4">
        <v>45322</v>
      </c>
      <c r="E29" s="16" t="str">
        <f>HYPERLINK("https://www8.mpce.mp.br/Empenhos/150001/Objeto/15-2023.pdf","ASSINATURAS PARA ACESSO AS BASES DE CONHENCIMENTOS, LICENÇAS DE SOFTWARES CONFORME CONTRATO 15/2023, PROJETO 28/2023 ,RELATIVOS AOS MESES  DE JANEIRO, FEVEREIRO E MARÇO DE 2024.POR ESTIMATIVA ")</f>
        <v xml:space="preserve">ASSINATURAS PARA ACESSO AS BASES DE CONHENCIMENTOS, LICENÇAS DE SOFTWARES CONFORME CONTRATO 15/2023, PROJETO 28/2023 ,RELATIVOS AOS MESES  DE JANEIRO, FEVEREIRO E MARÇO DE 2024.POR ESTIMATIVA </v>
      </c>
      <c r="F29" s="2" t="s">
        <v>109</v>
      </c>
      <c r="G29" s="5" t="str">
        <f>HYPERLINK("http://www8.mpce.mp.br/Empenhos/150501/NE/2024NE000026.pdf","2024NE000026")</f>
        <v>2024NE000026</v>
      </c>
      <c r="H29" s="6">
        <v>186951</v>
      </c>
      <c r="I29" s="7" t="s">
        <v>113</v>
      </c>
      <c r="J29" s="10" t="s">
        <v>114</v>
      </c>
    </row>
    <row r="30" spans="1:10" ht="51" x14ac:dyDescent="0.25">
      <c r="A30" s="12" t="s">
        <v>34</v>
      </c>
      <c r="B30" s="2" t="s">
        <v>115</v>
      </c>
      <c r="C30" s="3" t="str">
        <f>HYPERLINK("http://www8.mpce.mp.br/Dispensa/CL0012003.pdf","CL001/2003")</f>
        <v>CL001/2003</v>
      </c>
      <c r="D30" s="4">
        <v>45323</v>
      </c>
      <c r="E30" s="16" t="str">
        <f>HYPERLINK("https://www8.mpce.mp.br/Empenhos/150001/Objeto/01-2003.pdf","LOCAÇÃO DE IMÓVEL ONDE FUNCIONA O ARQUIVO GERAL DESTE MP-CE , POR ESTIMATIVA REFERENTE AOS MESES DE JANEIRO E FEVEREIRO DE 2024.")</f>
        <v>LOCAÇÃO DE IMÓVEL ONDE FUNCIONA O ARQUIVO GERAL DESTE MP-CE , POR ESTIMATIVA REFERENTE AOS MESES DE JANEIRO E FEVEREIRO DE 2024.</v>
      </c>
      <c r="F30" s="2" t="s">
        <v>116</v>
      </c>
      <c r="G30" s="5" t="str">
        <f>HYPERLINK("http://www8.mpce.mp.br/Empenhos/150501/NE/2024NE000032.pdf","2024NE000032")</f>
        <v>2024NE000032</v>
      </c>
      <c r="H30" s="6">
        <v>2100</v>
      </c>
      <c r="I30" s="7" t="s">
        <v>117</v>
      </c>
      <c r="J30" s="10" t="s">
        <v>118</v>
      </c>
    </row>
    <row r="31" spans="1:10" ht="38.25" x14ac:dyDescent="0.25">
      <c r="A31" s="12" t="s">
        <v>34</v>
      </c>
      <c r="B31" s="2" t="s">
        <v>119</v>
      </c>
      <c r="C31" s="3" t="str">
        <f>HYPERLINK("http://www8.mpce.mp.br/Dispensa/1721020046.pdf","17210/2004-6")</f>
        <v>17210/2004-6</v>
      </c>
      <c r="D31" s="4">
        <v>45323</v>
      </c>
      <c r="E31" s="16" t="str">
        <f>HYPERLINK("https://www8.mpce.mp.br/Empenhos/150001/Objeto/02-2004.pdf","LOCAÇÃO DE IMÓVEL A RUA BARÃO DE ARATANHA,100-CENTRO RELATIVOS AOS MESES DE JANEIRO A MARÇO DE 2024, POR ESTIMATIVA.CONTRATO 02/2004.")</f>
        <v>LOCAÇÃO DE IMÓVEL A RUA BARÃO DE ARATANHA,100-CENTRO RELATIVOS AOS MESES DE JANEIRO A MARÇO DE 2024, POR ESTIMATIVA.CONTRATO 02/2004.</v>
      </c>
      <c r="F31" s="2" t="s">
        <v>116</v>
      </c>
      <c r="G31" s="5" t="str">
        <f>HYPERLINK("http://www8.mpce.mp.br/Empenhos/150501/NE/2024NE000033.pdf","2024NE000033")</f>
        <v>2024NE000033</v>
      </c>
      <c r="H31" s="6">
        <v>107369.1</v>
      </c>
      <c r="I31" s="7" t="s">
        <v>120</v>
      </c>
      <c r="J31" s="10" t="s">
        <v>121</v>
      </c>
    </row>
    <row r="32" spans="1:10" ht="51" x14ac:dyDescent="0.25">
      <c r="A32" s="12" t="s">
        <v>34</v>
      </c>
      <c r="B32" s="2" t="s">
        <v>122</v>
      </c>
      <c r="C32" s="3" t="str">
        <f>HYPERLINK("https://transparencia-area-fim.mpce.mp.br/#/consulta/processo/pastadigital/092022000197876","09.2022.00019787-6")</f>
        <v>09.2022.00019787-6</v>
      </c>
      <c r="D32" s="4">
        <v>45323</v>
      </c>
      <c r="E32" s="16" t="str">
        <f>HYPERLINK("https://www8.mpce.mp.br/Empenhos/150001/Objeto/02-2023.pdf","LOCAÇÃO DE IMÓVEL, POR ESTIMATIVA REFERENTE AOS MES DE JANEIRO /2024 DO IMÓVEL ONDE FUNCIONA O NUCLEO DE MEDIAÇÃO COMUNITÁRIA, AV OSCAR ARARIPE 1030-BOM JARDIM, CONTRATO 02/2023.")</f>
        <v>LOCAÇÃO DE IMÓVEL, POR ESTIMATIVA REFERENTE AOS MES DE JANEIRO /2024 DO IMÓVEL ONDE FUNCIONA O NUCLEO DE MEDIAÇÃO COMUNITÁRIA, AV OSCAR ARARIPE 1030-BOM JARDIM, CONTRATO 02/2023.</v>
      </c>
      <c r="F32" s="2" t="s">
        <v>116</v>
      </c>
      <c r="G32" s="5" t="str">
        <f>HYPERLINK("http://www8.mpce.mp.br/Empenhos/150501/NE/2024NE000034.pdf","2024NE000034")</f>
        <v>2024NE000034</v>
      </c>
      <c r="H32" s="6">
        <v>5600</v>
      </c>
      <c r="I32" s="7" t="s">
        <v>123</v>
      </c>
      <c r="J32" s="10" t="s">
        <v>124</v>
      </c>
    </row>
    <row r="33" spans="1:10" ht="38.25" x14ac:dyDescent="0.25">
      <c r="A33" s="12" t="s">
        <v>34</v>
      </c>
      <c r="B33" s="2" t="s">
        <v>125</v>
      </c>
      <c r="C33" s="3" t="str">
        <f>HYPERLINK("http://www8.mpce.mp.br/Dispensa/48729162.pdf","48729/16-2")</f>
        <v>48729/16-2</v>
      </c>
      <c r="D33" s="4">
        <v>45323</v>
      </c>
      <c r="E33" s="16" t="str">
        <f>HYPERLINK("https://www8.mpce.mp.br/Empenhos/150001/Objeto/06-2017.pdf","LOCAÇÃO DE IMÓVEL DOS MES DE JANEIRO  DE 2024, POR ESTIMATIVA, CONFORME CONTRATO 06/2017, PROMOTORIAS CÍVEIS.")</f>
        <v>LOCAÇÃO DE IMÓVEL DOS MES DE JANEIRO  DE 2024, POR ESTIMATIVA, CONFORME CONTRATO 06/2017, PROMOTORIAS CÍVEIS.</v>
      </c>
      <c r="F33" s="2" t="s">
        <v>116</v>
      </c>
      <c r="G33" s="5" t="str">
        <f>HYPERLINK("http://www8.mpce.mp.br/Empenhos/150501/NE/2024NE000036.pdf","2024NE000036")</f>
        <v>2024NE000036</v>
      </c>
      <c r="H33" s="6">
        <v>114746.91</v>
      </c>
      <c r="I33" s="7" t="s">
        <v>126</v>
      </c>
      <c r="J33" s="10" t="s">
        <v>127</v>
      </c>
    </row>
    <row r="34" spans="1:10" ht="38.25" x14ac:dyDescent="0.25">
      <c r="A34" s="12" t="s">
        <v>34</v>
      </c>
      <c r="B34" s="2" t="s">
        <v>128</v>
      </c>
      <c r="C34" s="3" t="str">
        <f>HYPERLINK("https://transparencia-area-fim.mpce.mp.br/#/consulta/processo/pastadigital/092022000343751","09.2022.00034375-1")</f>
        <v>09.2022.00034375-1</v>
      </c>
      <c r="D34" s="4">
        <v>45323</v>
      </c>
      <c r="E34" s="16" t="str">
        <f>HYPERLINK("https://www8.mpce.mp.br/Empenhos/150001/Objeto/08-2023.pdf","LOCAÇÃO DE IMÓVEIS ONDE FUNCIONAM AS PROMOTORIAS DE JUSTIÇA DE QUIXERAMOBIM, CONTRATO 008/2023/PGJ, REFERENTE AOS MESES DE JAN/2024 - POR ESTIMATIVA")</f>
        <v>LOCAÇÃO DE IMÓVEIS ONDE FUNCIONAM AS PROMOTORIAS DE JUSTIÇA DE QUIXERAMOBIM, CONTRATO 008/2023/PGJ, REFERENTE AOS MESES DE JAN/2024 - POR ESTIMATIVA</v>
      </c>
      <c r="F34" s="2" t="s">
        <v>116</v>
      </c>
      <c r="G34" s="5" t="str">
        <f>HYPERLINK("http://www8.mpce.mp.br/Empenhos/150501/NE/2024NE000037.pdf","2024NE000037")</f>
        <v>2024NE000037</v>
      </c>
      <c r="H34" s="6">
        <v>14180</v>
      </c>
      <c r="I34" s="7" t="s">
        <v>129</v>
      </c>
      <c r="J34" s="10" t="s">
        <v>130</v>
      </c>
    </row>
    <row r="35" spans="1:10" ht="38.25" x14ac:dyDescent="0.25">
      <c r="A35" s="12" t="s">
        <v>34</v>
      </c>
      <c r="B35" s="2" t="s">
        <v>131</v>
      </c>
      <c r="C35" s="3" t="str">
        <f>HYPERLINK("https://transparencia-area-fim.mpce.mp.br/#/consulta/processo/pastadigital/092021000244449","09.2021.00024444-9")</f>
        <v>09.2021.00024444-9</v>
      </c>
      <c r="D35" s="4">
        <v>45323</v>
      </c>
      <c r="E35" s="16" t="str">
        <f>HYPERLINK("https://www8.mpce.mp.br/Empenhos/150001/Objeto/12-2022.pdf","LOCAÇÃO DE IMÓVEIS ONDE FUNCIONAM AS PROMOTORIAS DE JUSTIÇA DE RUSSAS, CONTRATO 012/2022/PGJ, REFERENTE AOS MES DE JAN/2024 - POR ESTIMATIVA")</f>
        <v>LOCAÇÃO DE IMÓVEIS ONDE FUNCIONAM AS PROMOTORIAS DE JUSTIÇA DE RUSSAS, CONTRATO 012/2022/PGJ, REFERENTE AOS MES DE JAN/2024 - POR ESTIMATIVA</v>
      </c>
      <c r="F35" s="2" t="s">
        <v>116</v>
      </c>
      <c r="G35" s="5" t="str">
        <f>HYPERLINK("http://www8.mpce.mp.br/Empenhos/150501/NE/2024NE000038.pdf","2024NE000038")</f>
        <v>2024NE000038</v>
      </c>
      <c r="H35" s="6">
        <v>20900</v>
      </c>
      <c r="I35" s="7" t="s">
        <v>129</v>
      </c>
      <c r="J35" s="10" t="s">
        <v>130</v>
      </c>
    </row>
    <row r="36" spans="1:10" ht="38.25" x14ac:dyDescent="0.25">
      <c r="A36" s="12" t="s">
        <v>34</v>
      </c>
      <c r="B36" s="2" t="s">
        <v>131</v>
      </c>
      <c r="C36" s="3" t="str">
        <f>HYPERLINK("https://transparencia-area-fim.mpce.mp.br/#/consulta/processo/pastadigital/092022000081432","09.2022.00008143-2")</f>
        <v>09.2022.00008143-2</v>
      </c>
      <c r="D36" s="4">
        <v>45323</v>
      </c>
      <c r="E36" s="16" t="str">
        <f>HYPERLINK("https://www8.mpce.mp.br/Empenhos/150001/Objeto/16-2022.pdf","LOCAÇÃO DE IMÓVEIS ONDE FUNCIONAM AS PROMOTORIAS DE JUSTIÇA DE BARBALHA, CONTRATO 016/2022/PGJ, REFERENTE AOS MES JAN /2024.")</f>
        <v>LOCAÇÃO DE IMÓVEIS ONDE FUNCIONAM AS PROMOTORIAS DE JUSTIÇA DE BARBALHA, CONTRATO 016/2022/PGJ, REFERENTE AOS MES JAN /2024.</v>
      </c>
      <c r="F36" s="2" t="s">
        <v>116</v>
      </c>
      <c r="G36" s="5" t="str">
        <f>HYPERLINK("http://www8.mpce.mp.br/Empenhos/150501/NE/2024NE000039.pdf","2024NE000039")</f>
        <v>2024NE000039</v>
      </c>
      <c r="H36" s="6">
        <v>16434.259999999998</v>
      </c>
      <c r="I36" s="7" t="s">
        <v>132</v>
      </c>
      <c r="J36" s="10" t="s">
        <v>133</v>
      </c>
    </row>
    <row r="37" spans="1:10" ht="38.25" x14ac:dyDescent="0.25">
      <c r="A37" s="12" t="s">
        <v>34</v>
      </c>
      <c r="B37" s="2" t="s">
        <v>131</v>
      </c>
      <c r="C37" s="3" t="str">
        <f>HYPERLINK("https://transparencia-area-fim.mpce.mp.br/#/consulta/processo/pastadigital/092021000244282","09.2021.00024428-2")</f>
        <v>09.2021.00024428-2</v>
      </c>
      <c r="D37" s="4">
        <v>45323</v>
      </c>
      <c r="E37" s="16" t="str">
        <f>HYPERLINK("https://www8.mpce.mp.br/Empenhos/150001/Objeto/18-2022.pdf","LOCAÇÃO DE IMÓVEIS ONDE FUNCIONAM AS PROMOTORIAS DE JUSTIÇA DE CRATEÚS, CONTRATO 018/2022/PGJ, REFERENTE AO MÊS DE JAN/2024")</f>
        <v>LOCAÇÃO DE IMÓVEIS ONDE FUNCIONAM AS PROMOTORIAS DE JUSTIÇA DE CRATEÚS, CONTRATO 018/2022/PGJ, REFERENTE AO MÊS DE JAN/2024</v>
      </c>
      <c r="F37" s="2" t="s">
        <v>116</v>
      </c>
      <c r="G37" s="5" t="str">
        <f>HYPERLINK("http://www8.mpce.mp.br/Empenhos/150501/NE/2024NE000041.pdf","2024NE000041")</f>
        <v>2024NE000041</v>
      </c>
      <c r="H37" s="6">
        <v>26000.1</v>
      </c>
      <c r="I37" s="7" t="s">
        <v>134</v>
      </c>
      <c r="J37" s="10" t="s">
        <v>135</v>
      </c>
    </row>
    <row r="38" spans="1:10" ht="51" x14ac:dyDescent="0.25">
      <c r="A38" s="12" t="s">
        <v>34</v>
      </c>
      <c r="B38" s="2" t="s">
        <v>136</v>
      </c>
      <c r="C38" s="3" t="str">
        <f>HYPERLINK("http://www8.mpce.mp.br/Dispensa/405320185.pdf","4053/2018-5")</f>
        <v>4053/2018-5</v>
      </c>
      <c r="D38" s="4">
        <v>45320</v>
      </c>
      <c r="E38" s="16" t="str">
        <f>HYPERLINK("https://www8.mpce.mp.br/Empenhos/150001/Objeto/35-2018.pdf","MANUTENÇÃO DE ELEVADRO NO PRÉDIO DA RUA PHILOMENO GOMES, CONFORME CONTRATO 035/2018, POR ESTIMATIVA, RELATIVO AOS MESES DE JANEIRO A MARÇO/2024.")</f>
        <v>MANUTENÇÃO DE ELEVADRO NO PRÉDIO DA RUA PHILOMENO GOMES, CONFORME CONTRATO 035/2018, POR ESTIMATIVA, RELATIVO AOS MESES DE JANEIRO A MARÇO/2024.</v>
      </c>
      <c r="F38" s="2" t="s">
        <v>137</v>
      </c>
      <c r="G38" s="5" t="str">
        <f>HYPERLINK("http://www8.mpce.mp.br/Empenhos/150001/NE/2024NE000042.pdf","2024NE000042")</f>
        <v>2024NE000042</v>
      </c>
      <c r="H38" s="6">
        <v>2850</v>
      </c>
      <c r="I38" s="7" t="s">
        <v>138</v>
      </c>
      <c r="J38" s="10" t="s">
        <v>139</v>
      </c>
    </row>
    <row r="39" spans="1:10" ht="38.25" x14ac:dyDescent="0.25">
      <c r="A39" s="12" t="s">
        <v>34</v>
      </c>
      <c r="B39" s="2" t="s">
        <v>131</v>
      </c>
      <c r="C39" s="3" t="str">
        <f>HYPERLINK("http://www8.mpce.mp.br/Dispensa/2887720171.pdf","28877/2017-1")</f>
        <v>28877/2017-1</v>
      </c>
      <c r="D39" s="4">
        <v>45323</v>
      </c>
      <c r="E39" s="16" t="str">
        <f>HYPERLINK("https://www8.mpce.mp.br/Empenhos/150001/Objeto/24-2019.pdf","LOCAÇÃO DE IMÓVEIS ONDE FUNCIONAM AS PROMOTORIAS DE JUSTIÇA DE JAGUARIBE, CONTRATO 024/2019/PGJ, REFERENTE AO MÊS DE JAN/2024")</f>
        <v>LOCAÇÃO DE IMÓVEIS ONDE FUNCIONAM AS PROMOTORIAS DE JUSTIÇA DE JAGUARIBE, CONTRATO 024/2019/PGJ, REFERENTE AO MÊS DE JAN/2024</v>
      </c>
      <c r="F39" s="2" t="s">
        <v>116</v>
      </c>
      <c r="G39" s="5" t="str">
        <f>HYPERLINK("http://www8.mpce.mp.br/Empenhos/150501/NE/2024NE000044.pdf","2024NE000044")</f>
        <v>2024NE000044</v>
      </c>
      <c r="H39" s="6">
        <v>1431.35</v>
      </c>
      <c r="I39" s="7" t="s">
        <v>140</v>
      </c>
      <c r="J39" s="10" t="s">
        <v>141</v>
      </c>
    </row>
    <row r="40" spans="1:10" ht="38.25" x14ac:dyDescent="0.25">
      <c r="A40" s="12" t="s">
        <v>34</v>
      </c>
      <c r="B40" s="2" t="s">
        <v>131</v>
      </c>
      <c r="C40" s="3" t="str">
        <f>HYPERLINK("http://www8.mpce.mp.br/Dispensa/2826420164.pdf","28264/2016-4")</f>
        <v>28264/2016-4</v>
      </c>
      <c r="D40" s="4">
        <v>45323</v>
      </c>
      <c r="E40" s="16" t="str">
        <f>HYPERLINK("https://www8.mpce.mp.br/Empenhos/150001/Objeto/26-2016.pdf","LOCAÇÃO DE IMÓVEIS ONDE FUNCIONAM OS CENTROS DE APOIO OPERACIONAL E ÓRGÃOS DE INVESTIGAÇÃO, CONTRATO 026/2016/PGJ, REFERENTE AO MÊS DE JAN/2024")</f>
        <v>LOCAÇÃO DE IMÓVEIS ONDE FUNCIONAM OS CENTROS DE APOIO OPERACIONAL E ÓRGÃOS DE INVESTIGAÇÃO, CONTRATO 026/2016/PGJ, REFERENTE AO MÊS DE JAN/2024</v>
      </c>
      <c r="F40" s="2" t="s">
        <v>116</v>
      </c>
      <c r="G40" s="5" t="str">
        <f>HYPERLINK("http://www8.mpce.mp.br/Empenhos/150501/NE/2024NE000046.pdf","2024NE000046")</f>
        <v>2024NE000046</v>
      </c>
      <c r="H40" s="6">
        <v>61958.53</v>
      </c>
      <c r="I40" s="7" t="s">
        <v>142</v>
      </c>
      <c r="J40" s="10" t="s">
        <v>143</v>
      </c>
    </row>
    <row r="41" spans="1:10" ht="51" x14ac:dyDescent="0.25">
      <c r="A41" s="12" t="s">
        <v>34</v>
      </c>
      <c r="B41" s="2" t="s">
        <v>131</v>
      </c>
      <c r="C41" s="3" t="str">
        <f>HYPERLINK("https://transparencia-area-fim.mpce.mp.br/#/consulta/processo/pastadigital/092021000079244","09.2021.00007924-4")</f>
        <v>09.2021.00007924-4</v>
      </c>
      <c r="D41" s="4">
        <v>45330</v>
      </c>
      <c r="E41" s="16" t="str">
        <f>HYPERLINK("https://www8.mpce.mp.br/Empenhos/150001/Objeto/27-2021.pdf","LOCAÇÃO DE IMÓVEIS ONDE FUNCIONAM AS PROMOTORIAS DE JUSTIÇA DE EUSÉBIO (EDIFÍCIO OFFICE &amp; MEDICAL CENTER EUSÉBIO), CONTRATO 027/2021/PGJ REFERENTE AO MES DE JAN/2024")</f>
        <v>LOCAÇÃO DE IMÓVEIS ONDE FUNCIONAM AS PROMOTORIAS DE JUSTIÇA DE EUSÉBIO (EDIFÍCIO OFFICE &amp; MEDICAL CENTER EUSÉBIO), CONTRATO 027/2021/PGJ REFERENTE AO MES DE JAN/2024</v>
      </c>
      <c r="F41" s="2" t="s">
        <v>116</v>
      </c>
      <c r="G41" s="5" t="str">
        <f>HYPERLINK("http://www8.mpce.mp.br/Empenhos/150501/NE/2024NE000047.pdf","2024NE000047")</f>
        <v>2024NE000047</v>
      </c>
      <c r="H41" s="6">
        <v>5546.1</v>
      </c>
      <c r="I41" s="7" t="s">
        <v>144</v>
      </c>
      <c r="J41" s="10" t="s">
        <v>145</v>
      </c>
    </row>
    <row r="42" spans="1:10" ht="38.25" x14ac:dyDescent="0.25">
      <c r="A42" s="12" t="s">
        <v>34</v>
      </c>
      <c r="B42" s="2" t="s">
        <v>131</v>
      </c>
      <c r="C42" s="3" t="str">
        <f>HYPERLINK("https://transparencia-area-fim.mpce.mp.br/#/consulta/processo/pastadigital/092021000063220","09.2021.00006322-0")</f>
        <v>09.2021.00006322-0</v>
      </c>
      <c r="D42" s="4">
        <v>45323</v>
      </c>
      <c r="E42" s="16" t="str">
        <f>HYPERLINK("https://www8.mpce.mp.br/Empenhos/150001/Objeto/33-2021.pdf","LOCAÇÃO DE IMÓVEIS ONDE FUNCIONAM AS PROMOTORIAS DE JUSTIÇA DE SOBRAL, CONTRATO 033/2021/PGJ REFERENTE AO MES DE JAN/2024")</f>
        <v>LOCAÇÃO DE IMÓVEIS ONDE FUNCIONAM AS PROMOTORIAS DE JUSTIÇA DE SOBRAL, CONTRATO 033/2021/PGJ REFERENTE AO MES DE JAN/2024</v>
      </c>
      <c r="F42" s="2" t="s">
        <v>116</v>
      </c>
      <c r="G42" s="5" t="str">
        <f>HYPERLINK("http://www8.mpce.mp.br/Empenhos/150501/NE/2024NE000048.pdf","2024NE000048")</f>
        <v>2024NE000048</v>
      </c>
      <c r="H42" s="6">
        <v>33400.11</v>
      </c>
      <c r="I42" s="7" t="s">
        <v>134</v>
      </c>
      <c r="J42" s="10" t="s">
        <v>135</v>
      </c>
    </row>
    <row r="43" spans="1:10" ht="38.25" x14ac:dyDescent="0.25">
      <c r="A43" s="12" t="s">
        <v>34</v>
      </c>
      <c r="B43" s="2" t="s">
        <v>131</v>
      </c>
      <c r="C43" s="3" t="str">
        <f>HYPERLINK("https://transparencia-area-fim.mpce.mp.br/#/consulta/processo/pastadigital/092021000065217","09.2021.00006521-7")</f>
        <v>09.2021.00006521-7</v>
      </c>
      <c r="D43" s="4">
        <v>45323</v>
      </c>
      <c r="E43" s="16" t="str">
        <f>HYPERLINK("https://www8.mpce.mp.br/Empenhos/150001/Objeto/38-2021.pdf","LOCAÇÃO DE IMÓVEIS ONDE FUNCIONAM AS PROMOTORIAS DE JUSTIÇA DE TAUÁ, CONTRATO 038/2021/PGJ REFERENTE AO MES DE JAN/2024")</f>
        <v>LOCAÇÃO DE IMÓVEIS ONDE FUNCIONAM AS PROMOTORIAS DE JUSTIÇA DE TAUÁ, CONTRATO 038/2021/PGJ REFERENTE AO MES DE JAN/2024</v>
      </c>
      <c r="F43" s="2" t="s">
        <v>116</v>
      </c>
      <c r="G43" s="5" t="str">
        <f>HYPERLINK("http://www8.mpce.mp.br/Empenhos/150501/NE/2024NE000049.pdf","2024NE000049")</f>
        <v>2024NE000049</v>
      </c>
      <c r="H43" s="6">
        <v>18000</v>
      </c>
      <c r="I43" s="7" t="s">
        <v>146</v>
      </c>
      <c r="J43" s="10" t="s">
        <v>147</v>
      </c>
    </row>
    <row r="44" spans="1:10" ht="38.25" x14ac:dyDescent="0.25">
      <c r="A44" s="12" t="s">
        <v>34</v>
      </c>
      <c r="B44" s="2" t="s">
        <v>131</v>
      </c>
      <c r="C44" s="3" t="str">
        <f>HYPERLINK("http://www8.mpce.mp.br/Dispensa/1291020194.pdf","12910/2019-4")</f>
        <v>12910/2019-4</v>
      </c>
      <c r="D44" s="4">
        <v>45323</v>
      </c>
      <c r="E44" s="16" t="str">
        <f>HYPERLINK("https://www8.mpce.mp.br/Empenhos/150001/Objeto/39-2019.pdf","LOCAÇÃO DE IMÓVEIS ONDE FUNCIONAM AS PROMOTORIAS DA INFÂNCIA E JUVENTUDE, CONTRATO 039/2019/PGJ REFERENTE AO MES DE JAN/2024")</f>
        <v>LOCAÇÃO DE IMÓVEIS ONDE FUNCIONAM AS PROMOTORIAS DA INFÂNCIA E JUVENTUDE, CONTRATO 039/2019/PGJ REFERENTE AO MES DE JAN/2024</v>
      </c>
      <c r="F44" s="2" t="s">
        <v>116</v>
      </c>
      <c r="G44" s="5" t="str">
        <f>HYPERLINK("http://www8.mpce.mp.br/Empenhos/150501/NE/2024NE000050.pdf","2024NE000050")</f>
        <v>2024NE000050</v>
      </c>
      <c r="H44" s="6">
        <v>4428.03</v>
      </c>
      <c r="I44" s="7" t="s">
        <v>148</v>
      </c>
      <c r="J44" s="10" t="s">
        <v>149</v>
      </c>
    </row>
    <row r="45" spans="1:10" ht="38.25" x14ac:dyDescent="0.25">
      <c r="A45" s="12" t="s">
        <v>34</v>
      </c>
      <c r="B45" s="2" t="s">
        <v>150</v>
      </c>
      <c r="C45" s="3" t="str">
        <f>HYPERLINK("https://transparencia-area-fim.mpce.mp.br/#/consulta/processo/pastadigital/092021000064195","09.2021.00006419-5")</f>
        <v>09.2021.00006419-5</v>
      </c>
      <c r="D45" s="4">
        <v>45323</v>
      </c>
      <c r="E45" s="16" t="str">
        <f>HYPERLINK("https://www8.mpce.mp.br/Empenhos/150001/Objeto/41-2021.pdf","LOCAÇÃO DE IMÓVEIS ONDE FUNCIONAM AS PROMOTORIAS DE JUSTIÇA DE QUIXADÁ, CONTRATO 041/2021/PGJ REFERENTE AO MES DE JAN/2024")</f>
        <v>LOCAÇÃO DE IMÓVEIS ONDE FUNCIONAM AS PROMOTORIAS DE JUSTIÇA DE QUIXADÁ, CONTRATO 041/2021/PGJ REFERENTE AO MES DE JAN/2024</v>
      </c>
      <c r="F45" s="2" t="s">
        <v>116</v>
      </c>
      <c r="G45" s="5" t="str">
        <f>HYPERLINK("http://www8.mpce.mp.br/Empenhos/150501/NE/2024NE000051.pdf","2024NE000051")</f>
        <v>2024NE000051</v>
      </c>
      <c r="H45" s="6">
        <v>18900</v>
      </c>
      <c r="I45" s="7" t="s">
        <v>129</v>
      </c>
      <c r="J45" s="10" t="s">
        <v>130</v>
      </c>
    </row>
    <row r="46" spans="1:10" ht="38.25" x14ac:dyDescent="0.25">
      <c r="A46" s="12" t="s">
        <v>34</v>
      </c>
      <c r="B46" s="2" t="s">
        <v>150</v>
      </c>
      <c r="C46" s="3" t="str">
        <f>HYPERLINK("https://transparencia-area-fim.mpce.mp.br/#/consulta/processo/pastadigital/092021000219739","09.2021.00021973-9")</f>
        <v>09.2021.00021973-9</v>
      </c>
      <c r="D46" s="4">
        <v>45323</v>
      </c>
      <c r="E46" s="16" t="str">
        <f>HYPERLINK("https://www8.mpce.mp.br/Empenhos/150001/Objeto/45-2021.pdf","LOCAÇÃO DE IMÓVEIS ONDE FUNCIONAM AS PROMOTORIAS DE JUSTIÇA DE EUSÉBIO, CONTRATO 045/2021/PGJ REFERENTE AO MES DE JAN/2024")</f>
        <v>LOCAÇÃO DE IMÓVEIS ONDE FUNCIONAM AS PROMOTORIAS DE JUSTIÇA DE EUSÉBIO, CONTRATO 045/2021/PGJ REFERENTE AO MES DE JAN/2024</v>
      </c>
      <c r="F46" s="2" t="s">
        <v>116</v>
      </c>
      <c r="G46" s="5" t="str">
        <f>HYPERLINK("http://www8.mpce.mp.br/Empenhos/150501/NE/2024NE000052.pdf","2024NE000052")</f>
        <v>2024NE000052</v>
      </c>
      <c r="H46" s="6">
        <v>1640.35</v>
      </c>
      <c r="I46" s="7" t="s">
        <v>144</v>
      </c>
      <c r="J46" s="10" t="s">
        <v>145</v>
      </c>
    </row>
    <row r="47" spans="1:10" ht="38.25" x14ac:dyDescent="0.25">
      <c r="A47" s="12" t="s">
        <v>34</v>
      </c>
      <c r="B47" s="2" t="s">
        <v>150</v>
      </c>
      <c r="C47" s="3" t="str">
        <f>HYPERLINK("http://www8.mpce.mp.br/Dispensa/1984020196.pdf","19840/2019-6")</f>
        <v>19840/2019-6</v>
      </c>
      <c r="D47" s="4">
        <v>45323</v>
      </c>
      <c r="E47" s="16" t="str">
        <f>HYPERLINK("https://www8.mpce.mp.br/Empenhos/150001/Objeto/48-2019.pdf","LOCAÇÃO DE IMÓVEIS ONDE FUNCIONAM AS PROMOTORIAS DE JUSTIÇA DE CAUCAIA, CONTRATO 048/2019/PGJ REFERENTE AO MES DE JAN/2024")</f>
        <v>LOCAÇÃO DE IMÓVEIS ONDE FUNCIONAM AS PROMOTORIAS DE JUSTIÇA DE CAUCAIA, CONTRATO 048/2019/PGJ REFERENTE AO MES DE JAN/2024</v>
      </c>
      <c r="F47" s="2" t="s">
        <v>116</v>
      </c>
      <c r="G47" s="5" t="str">
        <f>HYPERLINK("http://www8.mpce.mp.br/Empenhos/150501/NE/2024NE000053.pdf","2024NE000053")</f>
        <v>2024NE000053</v>
      </c>
      <c r="H47" s="6">
        <v>45512.77</v>
      </c>
      <c r="I47" s="7" t="s">
        <v>151</v>
      </c>
      <c r="J47" s="10" t="s">
        <v>152</v>
      </c>
    </row>
    <row r="48" spans="1:10" ht="38.25" x14ac:dyDescent="0.25">
      <c r="A48" s="12" t="s">
        <v>9</v>
      </c>
      <c r="B48" s="2" t="s">
        <v>10</v>
      </c>
      <c r="C48" s="3" t="str">
        <f>HYPERLINK("https://transparencia-area-fim.mpce.mp.br/#/consulta/processo/pastadigital/092023000293915","09.2023.00029391-5")</f>
        <v>09.2023.00029391-5</v>
      </c>
      <c r="D48" s="4">
        <v>45323</v>
      </c>
      <c r="E48" s="16" t="str">
        <f>HYPERLINK("https://www8.mpce.mp.br/Empenhos/150001/Objeto/54-2023.pdf","LOCAÇÃO DE IMÓVEL ONDE FUNCIONA O GALPÃO DO ALMOXARIFADO, CONTRATO 054/2023/PGJ REFERENTE AO MES DE JAN/2024")</f>
        <v>LOCAÇÃO DE IMÓVEL ONDE FUNCIONA O GALPÃO DO ALMOXARIFADO, CONTRATO 054/2023/PGJ REFERENTE AO MES DE JAN/2024</v>
      </c>
      <c r="F48" s="2" t="s">
        <v>116</v>
      </c>
      <c r="G48" s="5" t="str">
        <f>HYPERLINK("http://www8.mpce.mp.br/Empenhos/150501/NE/2024NE000054.pdf","2024NE000054")</f>
        <v>2024NE000054</v>
      </c>
      <c r="H48" s="6">
        <v>22000</v>
      </c>
      <c r="I48" s="7" t="s">
        <v>153</v>
      </c>
      <c r="J48" s="10" t="s">
        <v>154</v>
      </c>
    </row>
    <row r="49" spans="1:10" ht="38.25" x14ac:dyDescent="0.25">
      <c r="A49" s="12" t="s">
        <v>9</v>
      </c>
      <c r="B49" s="2" t="s">
        <v>155</v>
      </c>
      <c r="C49" s="3" t="str">
        <f>HYPERLINK("https://transparencia-area-fim.mpce.mp.br/#/consulta/processo/pastadigital/092023000214163","09.2023.00021416-3")</f>
        <v>09.2023.00021416-3</v>
      </c>
      <c r="D49" s="4">
        <v>45323</v>
      </c>
      <c r="E49" s="16" t="str">
        <f>HYPERLINK("https://www8.mpce.mp.br/Empenhos/150001/Objeto/56-2023.pdf","LOCAÇÃO DE IMÓVEIS ONDE FUNCIONAM AS PROMOTORIAS DE JUSTIÇA DE BATURITÉ, CONTRATO 056/2023/PGJ REFERENTE AO MES DE JAN/2024")</f>
        <v>LOCAÇÃO DE IMÓVEIS ONDE FUNCIONAM AS PROMOTORIAS DE JUSTIÇA DE BATURITÉ, CONTRATO 056/2023/PGJ REFERENTE AO MES DE JAN/2024</v>
      </c>
      <c r="F49" s="2" t="s">
        <v>116</v>
      </c>
      <c r="G49" s="5" t="str">
        <f>HYPERLINK("http://www8.mpce.mp.br/Empenhos/150501/NE/2024NE000055.pdf","2024NE000055")</f>
        <v>2024NE000055</v>
      </c>
      <c r="H49" s="6">
        <v>5400</v>
      </c>
      <c r="I49" s="7" t="s">
        <v>156</v>
      </c>
      <c r="J49" s="10" t="s">
        <v>157</v>
      </c>
    </row>
    <row r="50" spans="1:10" ht="38.25" x14ac:dyDescent="0.25">
      <c r="A50" s="12" t="s">
        <v>34</v>
      </c>
      <c r="B50" s="2" t="s">
        <v>119</v>
      </c>
      <c r="C50" s="3" t="str">
        <f>HYPERLINK("http://www8.mpce.mp.br/Dispensa/4793720162.pdf","4793720162")</f>
        <v>4793720162</v>
      </c>
      <c r="D50" s="4">
        <v>45324</v>
      </c>
      <c r="E50" s="16" t="str">
        <f>HYPERLINK("https://www8.mpce.mp.br/Empenhos/150001/Objeto/14-2017.pdf","LOCAÇÃO  DO IMÓVEL ONDE FUNCIONA O GALPÃO DO ALMOXARIFADO, NA RUA NEUZINHA PARENTE,610, CONFORME CONTRATO 14/2017 REF JANEIRO/2024.")</f>
        <v>LOCAÇÃO  DO IMÓVEL ONDE FUNCIONA O GALPÃO DO ALMOXARIFADO, NA RUA NEUZINHA PARENTE,610, CONFORME CONTRATO 14/2017 REF JANEIRO/2024.</v>
      </c>
      <c r="F50" s="2" t="s">
        <v>116</v>
      </c>
      <c r="G50" s="5" t="str">
        <f>HYPERLINK("http://www8.mpce.mp.br/Empenhos/150501/NE/2024NE000056.pdf","2024NE000056")</f>
        <v>2024NE000056</v>
      </c>
      <c r="H50" s="6">
        <v>22143.48</v>
      </c>
      <c r="I50" s="7" t="s">
        <v>153</v>
      </c>
      <c r="J50" s="10" t="s">
        <v>154</v>
      </c>
    </row>
    <row r="51" spans="1:10" ht="51" x14ac:dyDescent="0.25">
      <c r="A51" s="12" t="s">
        <v>34</v>
      </c>
      <c r="B51" s="2" t="s">
        <v>119</v>
      </c>
      <c r="C51" s="3" t="str">
        <f>HYPERLINK("http://www8.mpce.mp.br/Dispensa/842220170.pdf","8422/20170")</f>
        <v>8422/20170</v>
      </c>
      <c r="D51" s="4">
        <v>45324</v>
      </c>
      <c r="E51" s="16" t="str">
        <f>HYPERLINK("https://www8.mpce.mp.br/Empenhos/150001/Objeto/16-2017.pdf","LOCAÇÃO DE IMÓVEL A RUA CORONEL JOSÉ PHILOMENO,222, ENG. LUCIANO CAVALCANTE, CONFORME CONTRATO 16/2017, POR ESTIMATIVA E REF MÊS DE JANEIRO/2024.")</f>
        <v>LOCAÇÃO DE IMÓVEL A RUA CORONEL JOSÉ PHILOMENO,222, ENG. LUCIANO CAVALCANTE, CONFORME CONTRATO 16/2017, POR ESTIMATIVA E REF MÊS DE JANEIRO/2024.</v>
      </c>
      <c r="F51" s="2" t="s">
        <v>116</v>
      </c>
      <c r="G51" s="5" t="str">
        <f>HYPERLINK("http://www8.mpce.mp.br/Empenhos/150501/NE/2024NE000057.pdf","2024NE000057")</f>
        <v>2024NE000057</v>
      </c>
      <c r="H51" s="6">
        <v>58910.97</v>
      </c>
      <c r="I51" s="7" t="s">
        <v>158</v>
      </c>
      <c r="J51" s="10" t="s">
        <v>159</v>
      </c>
    </row>
    <row r="52" spans="1:10" ht="38.25" x14ac:dyDescent="0.25">
      <c r="A52" s="12" t="s">
        <v>34</v>
      </c>
      <c r="B52" s="2" t="s">
        <v>160</v>
      </c>
      <c r="C52" s="3" t="str">
        <f>HYPERLINK("http://www8.mpce.mp.br/Dispensa/2004820193.pdf","20048/2019-3")</f>
        <v>20048/2019-3</v>
      </c>
      <c r="D52" s="4">
        <v>45324</v>
      </c>
      <c r="E52" s="16" t="str">
        <f>HYPERLINK("https://www8.mpce.mp.br/Empenhos/150001/Objeto/84-2019.pdf","LOCAÇÃO DE IMÓVEIS ONDE FUNCIONAM AS PROMOTORIAS DE JUSTIÇA DE MOMBAÇA, CONTRATO 084/2019/PGJ REFERENTE AO MES DE JAN/2024")</f>
        <v>LOCAÇÃO DE IMÓVEIS ONDE FUNCIONAM AS PROMOTORIAS DE JUSTIÇA DE MOMBAÇA, CONTRATO 084/2019/PGJ REFERENTE AO MES DE JAN/2024</v>
      </c>
      <c r="F52" s="2" t="s">
        <v>161</v>
      </c>
      <c r="G52" s="5" t="str">
        <f>HYPERLINK("http://www8.mpce.mp.br/Empenhos/150501/NE/2024NE000058.pdf","2024NE000058")</f>
        <v>2024NE000058</v>
      </c>
      <c r="H52" s="6">
        <v>4000</v>
      </c>
      <c r="I52" s="7" t="s">
        <v>162</v>
      </c>
      <c r="J52" s="10" t="s">
        <v>163</v>
      </c>
    </row>
    <row r="53" spans="1:10" ht="38.25" x14ac:dyDescent="0.25">
      <c r="A53" s="12" t="s">
        <v>34</v>
      </c>
      <c r="B53" s="2" t="s">
        <v>119</v>
      </c>
      <c r="C53" s="3" t="str">
        <f>HYPERLINK("http://www8.mpce.mp.br/Dispensa/2060220148.pdf","20602/2014-8")</f>
        <v>20602/2014-8</v>
      </c>
      <c r="D53" s="4">
        <v>45324</v>
      </c>
      <c r="E53" s="16" t="str">
        <f>HYPERLINK("https://www8.mpce.mp.br/Empenhos/150001/Objeto/19-2014.pdf","LOCAÇÃO DE IMÓVEL NA RUA MONTEIRO LOBATO,96 BAIRRO DE FÁTIMA, REFERENTE AO M~ES DE JANEIRO/2024 CONFORME CONTRATO 19/2014.")</f>
        <v>LOCAÇÃO DE IMÓVEL NA RUA MONTEIRO LOBATO,96 BAIRRO DE FÁTIMA, REFERENTE AO M~ES DE JANEIRO/2024 CONFORME CONTRATO 19/2014.</v>
      </c>
      <c r="F53" s="2" t="s">
        <v>116</v>
      </c>
      <c r="G53" s="5" t="str">
        <f>HYPERLINK("http://www8.mpce.mp.br/Empenhos/150501/NE/2024NE000059.pdf","2024NE000059")</f>
        <v>2024NE000059</v>
      </c>
      <c r="H53" s="6">
        <v>7269.13</v>
      </c>
      <c r="I53" s="7" t="s">
        <v>164</v>
      </c>
      <c r="J53" s="10" t="s">
        <v>165</v>
      </c>
    </row>
    <row r="54" spans="1:10" ht="38.25" x14ac:dyDescent="0.25">
      <c r="A54" s="12" t="s">
        <v>34</v>
      </c>
      <c r="B54" s="2" t="s">
        <v>131</v>
      </c>
      <c r="C54" s="3" t="str">
        <f>HYPERLINK("http://www8.mpce.mp.br/Dispensa/2398120192.pdf","23981/2019-2")</f>
        <v>23981/2019-2</v>
      </c>
      <c r="D54" s="4">
        <v>45324</v>
      </c>
      <c r="E54" s="16" t="str">
        <f>HYPERLINK("https://www8.mpce.mp.br/Empenhos/150001/Objeto/63-2019.pdf","LOCAÇÃO DE IMÓVEIS ONDE FUNCIONAM AS PROMOTORIAS DE JUSTIÇA DE JUAZEIRO DO NORTE, CONTRATO 063/2019/PGJ REFERENTE AO MES DE JAN/2024")</f>
        <v>LOCAÇÃO DE IMÓVEIS ONDE FUNCIONAM AS PROMOTORIAS DE JUSTIÇA DE JUAZEIRO DO NORTE, CONTRATO 063/2019/PGJ REFERENTE AO MES DE JAN/2024</v>
      </c>
      <c r="F54" s="2" t="s">
        <v>161</v>
      </c>
      <c r="G54" s="5" t="str">
        <f>HYPERLINK("http://www8.mpce.mp.br/Empenhos/150501/NE/2024NE000060.pdf","2024NE000060")</f>
        <v>2024NE000060</v>
      </c>
      <c r="H54" s="6">
        <v>1065.1600000000001</v>
      </c>
      <c r="I54" s="7" t="s">
        <v>166</v>
      </c>
      <c r="J54" s="10" t="s">
        <v>167</v>
      </c>
    </row>
    <row r="55" spans="1:10" ht="38.25" x14ac:dyDescent="0.25">
      <c r="A55" s="12" t="s">
        <v>34</v>
      </c>
      <c r="B55" s="2" t="s">
        <v>168</v>
      </c>
      <c r="C55" s="3" t="str">
        <f>HYPERLINK("http://www8.mpce.mp.br/Dispensa/3357020159.pdf","33570/2015-9")</f>
        <v>33570/2015-9</v>
      </c>
      <c r="D55" s="4">
        <v>45324</v>
      </c>
      <c r="E55" s="16" t="str">
        <f>HYPERLINK("https://www8.mpce.mp.br/Empenhos/150001/Objeto/28-2015.pdf","LOCAÇÃO DE IMÓVEL A RUA NELSON STUDART, 199- AGUA FRIA REF AO MÊS DE JANEIRO/2024, CONFORME CONTRATO N 28/2015.")</f>
        <v>LOCAÇÃO DE IMÓVEL A RUA NELSON STUDART, 199- AGUA FRIA REF AO MÊS DE JANEIRO/2024, CONFORME CONTRATO N 28/2015.</v>
      </c>
      <c r="F55" s="2" t="s">
        <v>161</v>
      </c>
      <c r="G55" s="5" t="str">
        <f>HYPERLINK("http://www8.mpce.mp.br/Empenhos/150501/NE/2024NE000061.pdf","2024NE000061")</f>
        <v>2024NE000061</v>
      </c>
      <c r="H55" s="6">
        <v>27329.279999999999</v>
      </c>
      <c r="I55" s="7" t="s">
        <v>169</v>
      </c>
      <c r="J55" s="10" t="s">
        <v>170</v>
      </c>
    </row>
    <row r="56" spans="1:10" ht="38.25" x14ac:dyDescent="0.25">
      <c r="A56" s="12" t="s">
        <v>34</v>
      </c>
      <c r="B56" s="2" t="s">
        <v>119</v>
      </c>
      <c r="C56" s="3" t="str">
        <f>HYPERLINK("https://transparencia-area-fim.mpce.mp.br/#/consulta/processo/pastadigital/092021000244582","09.2021.00024458-2")</f>
        <v>09.2021.00024458-2</v>
      </c>
      <c r="D56" s="4">
        <v>45324</v>
      </c>
      <c r="E56" s="16" t="str">
        <f>HYPERLINK("https://www8.mpce.mp.br/Empenhos/150001/Objeto/11-2022.pdf","LOCAÇÃO DE IMÓVEL ONDE FUNCIONAM AS PROMOTORIAS DE ARACATI-CE, REFERENTE AO MÊS DE JANEIRO DE 2024, CONFORME CONTRATO 11/2022.")</f>
        <v>LOCAÇÃO DE IMÓVEL ONDE FUNCIONAM AS PROMOTORIAS DE ARACATI-CE, REFERENTE AO MÊS DE JANEIRO DE 2024, CONFORME CONTRATO 11/2022.</v>
      </c>
      <c r="F56" s="2" t="s">
        <v>116</v>
      </c>
      <c r="G56" s="5" t="str">
        <f>HYPERLINK("http://www8.mpce.mp.br/Empenhos/150501/NE/2024NE000062.pdf","2024NE000062")</f>
        <v>2024NE000062</v>
      </c>
      <c r="H56" s="6">
        <v>18465</v>
      </c>
      <c r="I56" s="7" t="s">
        <v>171</v>
      </c>
      <c r="J56" s="10" t="s">
        <v>172</v>
      </c>
    </row>
    <row r="57" spans="1:10" ht="38.25" x14ac:dyDescent="0.25">
      <c r="A57" s="12" t="s">
        <v>34</v>
      </c>
      <c r="B57" s="2" t="s">
        <v>131</v>
      </c>
      <c r="C57" s="3" t="str">
        <f>HYPERLINK("http://www8.mpce.mp.br/Dispensa/2330020195.pdf","23300/2019-5")</f>
        <v>23300/2019-5</v>
      </c>
      <c r="D57" s="4">
        <v>45324</v>
      </c>
      <c r="E57" s="16" t="str">
        <f>HYPERLINK("https://www8.mpce.mp.br/Empenhos/150001/Objeto/61-2019.pdf","LOCAÇÃO DE IMÓVEIS ONDE FUNCIONAM AS PROMOTORIAS DE JUSTIÇA DE ACARAÚ, CONTRATO 061/2019/PGJ REFERENTE AO MES DE JAN/2024")</f>
        <v>LOCAÇÃO DE IMÓVEIS ONDE FUNCIONAM AS PROMOTORIAS DE JUSTIÇA DE ACARAÚ, CONTRATO 061/2019/PGJ REFERENTE AO MES DE JAN/2024</v>
      </c>
      <c r="F57" s="2" t="s">
        <v>161</v>
      </c>
      <c r="G57" s="5" t="str">
        <f>HYPERLINK("http://www8.mpce.mp.br/Empenhos/150501/NE/2024NE000063.pdf","2024NE000063")</f>
        <v>2024NE000063</v>
      </c>
      <c r="H57" s="6">
        <v>1400</v>
      </c>
      <c r="I57" s="7" t="s">
        <v>173</v>
      </c>
      <c r="J57" s="10" t="s">
        <v>174</v>
      </c>
    </row>
    <row r="58" spans="1:10" ht="38.25" x14ac:dyDescent="0.25">
      <c r="A58" s="12" t="s">
        <v>34</v>
      </c>
      <c r="B58" s="2" t="s">
        <v>119</v>
      </c>
      <c r="C58" s="3" t="str">
        <f>HYPERLINK("https://transparencia-area-fim.mpce.mp.br/#/consulta/processo/pastadigital/092021000244271","09.2021.00024427-1")</f>
        <v>09.2021.00024427-1</v>
      </c>
      <c r="D58" s="4">
        <v>45324</v>
      </c>
      <c r="E58" s="16" t="str">
        <f>HYPERLINK("https://www8.mpce.mp.br/Empenhos/150001/Objeto/17-2022.pdf","LOCAÇÃO DE IMÓVEL ONDE FUNCIONAM AS PROMOTORIAS DE TIANGUÁ-CE CONFORME CONTRATO 17/2022 REF JANEIRO/2024.")</f>
        <v>LOCAÇÃO DE IMÓVEL ONDE FUNCIONAM AS PROMOTORIAS DE TIANGUÁ-CE CONFORME CONTRATO 17/2022 REF JANEIRO/2024.</v>
      </c>
      <c r="F58" s="2" t="s">
        <v>116</v>
      </c>
      <c r="G58" s="5" t="str">
        <f>HYPERLINK("http://www8.mpce.mp.br/Empenhos/150501/NE/2024NE000064.pdf","2024NE000064")</f>
        <v>2024NE000064</v>
      </c>
      <c r="H58" s="6">
        <v>26000</v>
      </c>
      <c r="I58" s="7" t="s">
        <v>175</v>
      </c>
      <c r="J58" s="10" t="s">
        <v>176</v>
      </c>
    </row>
    <row r="59" spans="1:10" ht="38.25" x14ac:dyDescent="0.25">
      <c r="A59" s="12" t="s">
        <v>34</v>
      </c>
      <c r="B59" s="2" t="s">
        <v>119</v>
      </c>
      <c r="C59" s="3" t="str">
        <f>HYPERLINK("http://www8.mpce.mp.br/Dispensa/1320920133.pdf","13209/2013-3")</f>
        <v>13209/2013-3</v>
      </c>
      <c r="D59" s="4">
        <v>45324</v>
      </c>
      <c r="E59" s="16" t="str">
        <f>HYPERLINK("https://www8.mpce.mp.br/Empenhos/150001/Objeto/43-2013.pdf","LOCAÇÃO DE IMÓVEL DAS PROMOTORIAS DE MORADA NOVA-CE REF MÊS DE JANEIRO/2024., CONFORME CONTRATO 43/2013")</f>
        <v>LOCAÇÃO DE IMÓVEL DAS PROMOTORIAS DE MORADA NOVA-CE REF MÊS DE JANEIRO/2024., CONFORME CONTRATO 43/2013</v>
      </c>
      <c r="F59" s="2" t="s">
        <v>161</v>
      </c>
      <c r="G59" s="5" t="str">
        <f>HYPERLINK("http://www8.mpce.mp.br/Empenhos/150501/NE/2024NE000065.pdf","2024NE000065")</f>
        <v>2024NE000065</v>
      </c>
      <c r="H59" s="6">
        <v>8150.28</v>
      </c>
      <c r="I59" s="7" t="s">
        <v>177</v>
      </c>
      <c r="J59" s="10" t="s">
        <v>178</v>
      </c>
    </row>
    <row r="60" spans="1:10" ht="38.25" x14ac:dyDescent="0.25">
      <c r="A60" s="12" t="s">
        <v>34</v>
      </c>
      <c r="B60" s="2" t="s">
        <v>131</v>
      </c>
      <c r="C60" s="3" t="str">
        <f>HYPERLINK("http://www8.mpce.mp.br/Dispensa/2150720189.pdf","21507/2018-9")</f>
        <v>21507/2018-9</v>
      </c>
      <c r="D60" s="4">
        <v>45324</v>
      </c>
      <c r="E60" s="16" t="str">
        <f>HYPERLINK("https://www8.mpce.mp.br/Empenhos/150001/Objeto/51-2019.pdf","LOCAÇÃO DE IMÓVEIS ONDE FUNCIONAM AS PROMOTORIAS DE JUSTIÇA DE VIÇOSA DO CEARÁ, CONTRATO 051/2019/PGJ REFERENTE AO MES DE JAN/2024")</f>
        <v>LOCAÇÃO DE IMÓVEIS ONDE FUNCIONAM AS PROMOTORIAS DE JUSTIÇA DE VIÇOSA DO CEARÁ, CONTRATO 051/2019/PGJ REFERENTE AO MES DE JAN/2024</v>
      </c>
      <c r="F60" s="2" t="s">
        <v>161</v>
      </c>
      <c r="G60" s="5" t="str">
        <f>HYPERLINK("http://www8.mpce.mp.br/Empenhos/150501/NE/2024NE000066.pdf","2024NE000066")</f>
        <v>2024NE000066</v>
      </c>
      <c r="H60" s="6">
        <v>2935.71</v>
      </c>
      <c r="I60" s="7" t="s">
        <v>179</v>
      </c>
      <c r="J60" s="10" t="s">
        <v>180</v>
      </c>
    </row>
    <row r="61" spans="1:10" ht="38.25" x14ac:dyDescent="0.25">
      <c r="A61" s="12" t="s">
        <v>34</v>
      </c>
      <c r="B61" s="2" t="s">
        <v>181</v>
      </c>
      <c r="C61" s="3" t="str">
        <f>HYPERLINK("https://transparencia-area-fim.mpce.mp.br/#/consulta/processo/pastadigital/092022000230870","09.2022.00023087-0")</f>
        <v>09.2022.00023087-0</v>
      </c>
      <c r="D61" s="4">
        <v>45324</v>
      </c>
      <c r="E61" s="16" t="str">
        <f>HYPERLINK("https://www8.mpce.mp.br/Empenhos/150001/Objeto/29-2022.pdf","LOCAÇÃO DE IMÓVEL DAS PROMOTORIAS DA COMARCA DE JUAZEIRO DO NORTE-CE REF M~ES DE JANEIRO DE 2024 E CONFORME CONTRATO 029/2022")</f>
        <v>LOCAÇÃO DE IMÓVEL DAS PROMOTORIAS DA COMARCA DE JUAZEIRO DO NORTE-CE REF M~ES DE JANEIRO DE 2024 E CONFORME CONTRATO 029/2022</v>
      </c>
      <c r="F61" s="2" t="s">
        <v>116</v>
      </c>
      <c r="G61" s="5" t="str">
        <f>HYPERLINK("http://www8.mpce.mp.br/Empenhos/150501/NE/2024NE000067.pdf","2024NE000067")</f>
        <v>2024NE000067</v>
      </c>
      <c r="H61" s="6">
        <v>66161.41</v>
      </c>
      <c r="I61" s="7" t="s">
        <v>132</v>
      </c>
      <c r="J61" s="10" t="s">
        <v>133</v>
      </c>
    </row>
    <row r="62" spans="1:10" ht="38.25" x14ac:dyDescent="0.25">
      <c r="A62" s="12" t="s">
        <v>9</v>
      </c>
      <c r="B62" s="2" t="s">
        <v>155</v>
      </c>
      <c r="C62" s="3" t="str">
        <f>HYPERLINK("https://transparencia-area-fim.mpce.mp.br/#/consulta/processo/pastadigital/092022000371847","09.2022.00037184-7")</f>
        <v>09.2022.00037184-7</v>
      </c>
      <c r="D62" s="4">
        <v>45324</v>
      </c>
      <c r="E62" s="16" t="str">
        <f>HYPERLINK("https://www8.mpce.mp.br/Empenhos/150001/Objeto/44-2023.pdf","LOCAÇÃO DE IMÓVEIS ONDE FUNCIONAM AS PROMOTORIAS DE JUSTIÇA DE MARCO, CONTRATO 044/2023/PGJ REFERENTE AO MES DE JAN/2024")</f>
        <v>LOCAÇÃO DE IMÓVEIS ONDE FUNCIONAM AS PROMOTORIAS DE JUSTIÇA DE MARCO, CONTRATO 044/2023/PGJ REFERENTE AO MES DE JAN/2024</v>
      </c>
      <c r="F62" s="2" t="s">
        <v>161</v>
      </c>
      <c r="G62" s="5" t="str">
        <f>HYPERLINK("http://www8.mpce.mp.br/Empenhos/150501/NE/2024NE000068.pdf","2024NE000068")</f>
        <v>2024NE000068</v>
      </c>
      <c r="H62" s="6">
        <v>1200</v>
      </c>
      <c r="I62" s="7" t="s">
        <v>182</v>
      </c>
      <c r="J62" s="10" t="s">
        <v>183</v>
      </c>
    </row>
    <row r="63" spans="1:10" ht="38.25" x14ac:dyDescent="0.25">
      <c r="A63" s="12" t="s">
        <v>9</v>
      </c>
      <c r="B63" s="2" t="s">
        <v>155</v>
      </c>
      <c r="C63" s="3" t="str">
        <f>HYPERLINK("https://transparencia-area-fim.mpce.mp.br/#/consulta/processo/pastadigital/092022000409094","09.2022.00040909-4")</f>
        <v>09.2022.00040909-4</v>
      </c>
      <c r="D63" s="4">
        <v>45324</v>
      </c>
      <c r="E63" s="16" t="str">
        <f>HYPERLINK("https://www8.mpce.mp.br/Empenhos/150001/Objeto/41-2023.pdf","LOCAÇÃO DE IMÓVEIS ONDE FUNCIONAM AS PROMOTORIAS DE JUSTIÇA DE GUARACIABA DO NORTE, CONTRATO 041/2023/PGJ REFERENTE AO MES DE JAN/2024")</f>
        <v>LOCAÇÃO DE IMÓVEIS ONDE FUNCIONAM AS PROMOTORIAS DE JUSTIÇA DE GUARACIABA DO NORTE, CONTRATO 041/2023/PGJ REFERENTE AO MES DE JAN/2024</v>
      </c>
      <c r="F63" s="2" t="s">
        <v>161</v>
      </c>
      <c r="G63" s="5" t="str">
        <f>HYPERLINK("http://www8.mpce.mp.br/Empenhos/150501/NE/2024NE000069.pdf","2024NE000069")</f>
        <v>2024NE000069</v>
      </c>
      <c r="H63" s="6">
        <v>1550</v>
      </c>
      <c r="I63" s="7" t="s">
        <v>184</v>
      </c>
      <c r="J63" s="10" t="s">
        <v>185</v>
      </c>
    </row>
    <row r="64" spans="1:10" ht="38.25" x14ac:dyDescent="0.25">
      <c r="A64" s="12" t="s">
        <v>34</v>
      </c>
      <c r="B64" s="2" t="s">
        <v>168</v>
      </c>
      <c r="C64" s="3" t="str">
        <f>HYPERLINK("http://www8.mpce.mp.br/Dispensa/1955220197.pdf","19552/2019-7")</f>
        <v>19552/2019-7</v>
      </c>
      <c r="D64" s="4">
        <v>45324</v>
      </c>
      <c r="E64" s="16" t="str">
        <f>HYPERLINK("https://www8.mpce.mp.br/Empenhos/150001/Objeto/85-2019.pdf","LOCAÇAO DE IMÓVEL ONDE FUNCIONA AS PROMOTORIAS DE JUSTIÇA DE PARAIPABA REFERENTE AO MÊS DE JANEIRO/2024, CONFORME CONTRATO 85/2019.")</f>
        <v>LOCAÇAO DE IMÓVEL ONDE FUNCIONA AS PROMOTORIAS DE JUSTIÇA DE PARAIPABA REFERENTE AO MÊS DE JANEIRO/2024, CONFORME CONTRATO 85/2019.</v>
      </c>
      <c r="F64" s="2" t="s">
        <v>161</v>
      </c>
      <c r="G64" s="5" t="str">
        <f>HYPERLINK("http://www8.mpce.mp.br/Empenhos/150501/NE/2024NE000070.pdf","2024NE000070")</f>
        <v>2024NE000070</v>
      </c>
      <c r="H64" s="6">
        <v>1306.7</v>
      </c>
      <c r="I64" s="7" t="s">
        <v>186</v>
      </c>
      <c r="J64" s="10" t="s">
        <v>187</v>
      </c>
    </row>
    <row r="65" spans="1:10" ht="38.25" x14ac:dyDescent="0.25">
      <c r="A65" s="12" t="s">
        <v>9</v>
      </c>
      <c r="B65" s="2" t="s">
        <v>10</v>
      </c>
      <c r="C65" s="3" t="str">
        <f>HYPERLINK("https://transparencia-area-fim.mpce.mp.br/#/consulta/processo/pastadigital/092022000083885","09.2022.00008388-5")</f>
        <v>09.2022.00008388-5</v>
      </c>
      <c r="D65" s="4">
        <v>45324</v>
      </c>
      <c r="E65" s="16" t="str">
        <f>HYPERLINK("https://www8.mpce.mp.br/Empenhos/150001/Objeto/36-2023.pdf","LOCAÇÃO DE IMÓVEIS ONDE FUNCIONAM AS PROMOTORIAS DE JUSTIÇA DE SOLONÓPOLE, CONTRATO 036/2023/PGJ REFERENTE AO MES DE JAN/2024")</f>
        <v>LOCAÇÃO DE IMÓVEIS ONDE FUNCIONAM AS PROMOTORIAS DE JUSTIÇA DE SOLONÓPOLE, CONTRATO 036/2023/PGJ REFERENTE AO MES DE JAN/2024</v>
      </c>
      <c r="F65" s="2" t="s">
        <v>161</v>
      </c>
      <c r="G65" s="5" t="str">
        <f>HYPERLINK("http://www8.mpce.mp.br/Empenhos/150501/NE/2024NE000071.pdf","2024NE000071")</f>
        <v>2024NE000071</v>
      </c>
      <c r="H65" s="6">
        <v>3897.24</v>
      </c>
      <c r="I65" s="7" t="s">
        <v>188</v>
      </c>
      <c r="J65" s="10" t="s">
        <v>189</v>
      </c>
    </row>
    <row r="66" spans="1:10" ht="38.25" x14ac:dyDescent="0.25">
      <c r="A66" s="12" t="s">
        <v>34</v>
      </c>
      <c r="B66" s="2" t="s">
        <v>190</v>
      </c>
      <c r="C66" s="3" t="str">
        <f>HYPERLINK("https://transparencia-area-fim.mpce.mp.br/#/consulta/processo/pastadigital/092022000343829","09.2022.00034382-9")</f>
        <v>09.2022.00034382-9</v>
      </c>
      <c r="D66" s="4">
        <v>45324</v>
      </c>
      <c r="E66" s="16" t="str">
        <f>HYPERLINK("https://www8.mpce.mp.br/Empenhos/150001/Objeto/10-2023.pdf","	LOCAÇÃO DE IMÓVEL ONDE FUNCIONAM AS PROMOTORIAS DE ITPAPAJÉ-C3E, REF JANEIRO/2024 E CONFORME CONTRATO 10/202")</f>
        <v xml:space="preserve">	LOCAÇÃO DE IMÓVEL ONDE FUNCIONAM AS PROMOTORIAS DE ITPAPAJÉ-C3E, REF JANEIRO/2024 E CONFORME CONTRATO 10/202</v>
      </c>
      <c r="F66" s="2" t="s">
        <v>116</v>
      </c>
      <c r="G66" s="5" t="str">
        <f>HYPERLINK("http://www8.mpce.mp.br/Empenhos/150501/NE/2024NE000072.pdf","2024NE000072")</f>
        <v>2024NE000072</v>
      </c>
      <c r="H66" s="6">
        <v>13612</v>
      </c>
      <c r="I66" s="7" t="s">
        <v>129</v>
      </c>
      <c r="J66" s="10" t="s">
        <v>130</v>
      </c>
    </row>
    <row r="67" spans="1:10" ht="38.25" x14ac:dyDescent="0.25">
      <c r="A67" s="12" t="s">
        <v>34</v>
      </c>
      <c r="B67" s="2" t="s">
        <v>131</v>
      </c>
      <c r="C67" s="3" t="str">
        <f>HYPERLINK("https://transparencia-area-fim.mpce.mp.br/#/consulta/processo/pastadigital/092022000276145","09.2022.00027614-5")</f>
        <v>09.2022.00027614-5</v>
      </c>
      <c r="D67" s="4">
        <v>45324</v>
      </c>
      <c r="E67" s="16" t="str">
        <f>HYPERLINK("https://www8.mpce.mp.br/Empenhos/150001/Objeto/36-2022.pdf","LOCAÇÃO DE IMÓVEIS ONDE FUNCIONAM AS PROMOTORIAS DE JUSTIÇA DE ARARIPE, CONTRATO 036/2022/PGJ REFERENTE AO MES DE JAN/2024")</f>
        <v>LOCAÇÃO DE IMÓVEIS ONDE FUNCIONAM AS PROMOTORIAS DE JUSTIÇA DE ARARIPE, CONTRATO 036/2022/PGJ REFERENTE AO MES DE JAN/2024</v>
      </c>
      <c r="F67" s="2" t="s">
        <v>161</v>
      </c>
      <c r="G67" s="5" t="str">
        <f>HYPERLINK("http://www8.mpce.mp.br/Empenhos/150501/NE/2024NE000073.pdf","2024NE000073")</f>
        <v>2024NE000073</v>
      </c>
      <c r="H67" s="6">
        <v>1500</v>
      </c>
      <c r="I67" s="7" t="s">
        <v>191</v>
      </c>
      <c r="J67" s="10" t="s">
        <v>192</v>
      </c>
    </row>
    <row r="68" spans="1:10" ht="38.25" x14ac:dyDescent="0.25">
      <c r="A68" s="12" t="s">
        <v>34</v>
      </c>
      <c r="B68" s="2" t="s">
        <v>131</v>
      </c>
      <c r="C68" s="3" t="str">
        <f>HYPERLINK("https://transparencia-area-fim.mpce.mp.br/#/consulta/processo/pastadigital/092021000121226","09.2021.00012122-6")</f>
        <v>09.2021.00012122-6</v>
      </c>
      <c r="D68" s="4">
        <v>45324</v>
      </c>
      <c r="E68" s="16" t="str">
        <f>HYPERLINK("https://www8.mpce.mp.br/Empenhos/150001/Objeto/34-2021.pdf","LOCAÇÃO DE IMÓVEIS ONDE FUNCIONAM AS PROMOTORIAS DE JUSTIÇA DE SÃO BENEDITO, CONTRATO 034/2021/PGJ REFERENTE AO MES DE JAN/2024")</f>
        <v>LOCAÇÃO DE IMÓVEIS ONDE FUNCIONAM AS PROMOTORIAS DE JUSTIÇA DE SÃO BENEDITO, CONTRATO 034/2021/PGJ REFERENTE AO MES DE JAN/2024</v>
      </c>
      <c r="F68" s="2" t="s">
        <v>161</v>
      </c>
      <c r="G68" s="5" t="str">
        <f>HYPERLINK("http://www8.mpce.mp.br/Empenhos/150501/NE/2024NE000074.pdf","2024NE000074")</f>
        <v>2024NE000074</v>
      </c>
      <c r="H68" s="6">
        <v>2823.27</v>
      </c>
      <c r="I68" s="7" t="s">
        <v>193</v>
      </c>
      <c r="J68" s="10" t="s">
        <v>194</v>
      </c>
    </row>
    <row r="69" spans="1:10" ht="38.25" x14ac:dyDescent="0.25">
      <c r="A69" s="12" t="s">
        <v>9</v>
      </c>
      <c r="B69" s="2" t="s">
        <v>10</v>
      </c>
      <c r="C69" s="3" t="str">
        <f>HYPERLINK("https://transparencia-area-fim.mpce.mp.br/#/consulta/processo/pastadigital/092022000426227","09.2022.00042622-7")</f>
        <v>09.2022.00042622-7</v>
      </c>
      <c r="D69" s="4">
        <v>45324</v>
      </c>
      <c r="E69" s="16" t="str">
        <f>HYPERLINK("https://www8.mpce.mp.br/Empenhos/150001/Objeto/33-2023.pdf","LOCAÇÃO DE IMÓVEIS ONDE FUNCIONAM AS PROMOTORIAS DE JUSTIÇA DE JUCÁS, CONTRATO 033/2023/PGJ REFERENTE AO MES DE JAN/2024")</f>
        <v>LOCAÇÃO DE IMÓVEIS ONDE FUNCIONAM AS PROMOTORIAS DE JUSTIÇA DE JUCÁS, CONTRATO 033/2023/PGJ REFERENTE AO MES DE JAN/2024</v>
      </c>
      <c r="F69" s="2" t="s">
        <v>161</v>
      </c>
      <c r="G69" s="5" t="str">
        <f>HYPERLINK("http://www8.mpce.mp.br/Empenhos/150501/NE/2024NE000075.pdf","2024NE000075")</f>
        <v>2024NE000075</v>
      </c>
      <c r="H69" s="6">
        <v>2500</v>
      </c>
      <c r="I69" s="7" t="s">
        <v>195</v>
      </c>
      <c r="J69" s="10" t="s">
        <v>196</v>
      </c>
    </row>
    <row r="70" spans="1:10" ht="38.25" x14ac:dyDescent="0.25">
      <c r="A70" s="12" t="s">
        <v>34</v>
      </c>
      <c r="B70" s="2" t="s">
        <v>131</v>
      </c>
      <c r="C70" s="3" t="str">
        <f>HYPERLINK("https://transparencia-area-fim.mpce.mp.br/#/consulta/processo/pastadigital/092022000091296","09.2022.00009129-6")</f>
        <v>09.2022.00009129-6</v>
      </c>
      <c r="D70" s="4">
        <v>45324</v>
      </c>
      <c r="E70" s="16" t="str">
        <f>HYPERLINK("https://www8.mpce.mp.br/Empenhos/150001/Objeto/33-2022.pdf","LOCAÇÃO DE IMÓVEIS ONDE FUNCIONAM AS PROMOTORIAS DE JUSTIÇA DE VÁRZEA ALEGRE, CONTRATO 033/2022/PGJ REFERENTE AO MES DE JAN/2024")</f>
        <v>LOCAÇÃO DE IMÓVEIS ONDE FUNCIONAM AS PROMOTORIAS DE JUSTIÇA DE VÁRZEA ALEGRE, CONTRATO 033/2022/PGJ REFERENTE AO MES DE JAN/2024</v>
      </c>
      <c r="F70" s="2" t="s">
        <v>161</v>
      </c>
      <c r="G70" s="5" t="str">
        <f>HYPERLINK("http://www8.mpce.mp.br/Empenhos/150501/NE/2024NE000076.pdf","2024NE000076")</f>
        <v>2024NE000076</v>
      </c>
      <c r="H70" s="6">
        <v>800</v>
      </c>
      <c r="I70" s="7" t="s">
        <v>197</v>
      </c>
      <c r="J70" s="10" t="s">
        <v>198</v>
      </c>
    </row>
    <row r="71" spans="1:10" ht="38.25" x14ac:dyDescent="0.25">
      <c r="A71" s="12" t="s">
        <v>34</v>
      </c>
      <c r="B71" s="2" t="s">
        <v>150</v>
      </c>
      <c r="C71" s="3" t="str">
        <f>HYPERLINK("http://www8.mpce.mp.br/Dispensa/862520178.pdf","8625/20178")</f>
        <v>8625/20178</v>
      </c>
      <c r="D71" s="4">
        <v>45324</v>
      </c>
      <c r="E71" s="16" t="str">
        <f>HYPERLINK("https://www8.mpce.mp.br/Empenhos/150001/Objeto/31-2017.pdf","LOCAÇÃO DE IMÓVEIS ONDE FUNCIONAM AS PROMOTORIAS DE JUSTIÇA DE CANINDÉ, CONTRATO 031/2017/PGJ REFERENTE AO MES DE JAN/2024")</f>
        <v>LOCAÇÃO DE IMÓVEIS ONDE FUNCIONAM AS PROMOTORIAS DE JUSTIÇA DE CANINDÉ, CONTRATO 031/2017/PGJ REFERENTE AO MES DE JAN/2024</v>
      </c>
      <c r="F71" s="2" t="s">
        <v>161</v>
      </c>
      <c r="G71" s="5" t="str">
        <f>HYPERLINK("http://www8.mpce.mp.br/Empenhos/150501/NE/2024NE000077.pdf","2024NE000077")</f>
        <v>2024NE000077</v>
      </c>
      <c r="H71" s="6">
        <v>1080.22</v>
      </c>
      <c r="I71" s="7" t="s">
        <v>199</v>
      </c>
      <c r="J71" s="10" t="s">
        <v>200</v>
      </c>
    </row>
    <row r="72" spans="1:10" ht="38.25" x14ac:dyDescent="0.25">
      <c r="A72" s="12" t="s">
        <v>34</v>
      </c>
      <c r="B72" s="2" t="s">
        <v>131</v>
      </c>
      <c r="C72" s="3" t="str">
        <f>HYPERLINK("https://transparencia-area-fim.mpce.mp.br/#/consulta/processo/pastadigital/092022000264193","09.2022.00026419-3")</f>
        <v>09.2022.00026419-3</v>
      </c>
      <c r="D72" s="4">
        <v>45324</v>
      </c>
      <c r="E72" s="16" t="str">
        <f>HYPERLINK("https://www8.mpce.mp.br/Empenhos/150001/Objeto/28-2022.pdf","LOCAÇÃO DE IMÓVEIS ONDE FUNCIONAM AS PROMOTORIAS DE JUSTIÇA DE AURORA, CONTRATO 028/2022/PGJ REFERENTE AO MES DE JAN/2024")</f>
        <v>LOCAÇÃO DE IMÓVEIS ONDE FUNCIONAM AS PROMOTORIAS DE JUSTIÇA DE AURORA, CONTRATO 028/2022/PGJ REFERENTE AO MES DE JAN/2024</v>
      </c>
      <c r="F72" s="2" t="s">
        <v>161</v>
      </c>
      <c r="G72" s="5" t="str">
        <f>HYPERLINK("http://www8.mpce.mp.br/Empenhos/150501/NE/2024NE000078.pdf","2024NE000078")</f>
        <v>2024NE000078</v>
      </c>
      <c r="H72" s="6">
        <v>2000</v>
      </c>
      <c r="I72" s="7" t="s">
        <v>201</v>
      </c>
      <c r="J72" s="10" t="s">
        <v>202</v>
      </c>
    </row>
    <row r="73" spans="1:10" ht="38.25" x14ac:dyDescent="0.25">
      <c r="A73" s="12" t="s">
        <v>34</v>
      </c>
      <c r="B73" s="2" t="s">
        <v>150</v>
      </c>
      <c r="C73" s="3" t="str">
        <f>HYPERLINK("https://transparencia-area-fim.mpce.mp.br/#/consulta/processo/pastadigital/092021000155016","09.2021.00015501-6")</f>
        <v>09.2021.00015501-6</v>
      </c>
      <c r="D73" s="4">
        <v>45324</v>
      </c>
      <c r="E73" s="16" t="str">
        <f>HYPERLINK("https://www8.mpce.mp.br/Empenhos/150001/Objeto/26-2021.pdf","LOCAÇÃO DE IMÓVEIS ONDE FUNCIONAM AS PROMOTORIAS DE JUSTIÇA DE BREJO SANTO, CONTRATO 026/2021/PGJ REFERENTE AO MES DE JAN/2024")</f>
        <v>LOCAÇÃO DE IMÓVEIS ONDE FUNCIONAM AS PROMOTORIAS DE JUSTIÇA DE BREJO SANTO, CONTRATO 026/2021/PGJ REFERENTE AO MES DE JAN/2024</v>
      </c>
      <c r="F73" s="2" t="s">
        <v>161</v>
      </c>
      <c r="G73" s="5" t="str">
        <f>HYPERLINK("http://www8.mpce.mp.br/Empenhos/150501/NE/2024NE000079.pdf","2024NE000079")</f>
        <v>2024NE000079</v>
      </c>
      <c r="H73" s="6">
        <v>2601.5500000000002</v>
      </c>
      <c r="I73" s="7" t="s">
        <v>203</v>
      </c>
      <c r="J73" s="10" t="s">
        <v>204</v>
      </c>
    </row>
    <row r="74" spans="1:10" ht="38.25" x14ac:dyDescent="0.25">
      <c r="A74" s="12" t="s">
        <v>34</v>
      </c>
      <c r="B74" s="2" t="s">
        <v>150</v>
      </c>
      <c r="C74" s="3" t="str">
        <f>HYPERLINK("http://www8.mpce.mp.br/Dispensa/3642820165.pdf","36428/2016-5")</f>
        <v>36428/2016-5</v>
      </c>
      <c r="D74" s="4">
        <v>45324</v>
      </c>
      <c r="E74" s="16" t="str">
        <f>HYPERLINK("https://www8.mpce.mp.br/Empenhos/150001/Objeto/26-2017.pdf","LOCAÇÃO DE IMÓVEIS ONDE FUNCIONAM AS PROMOTORIAS DE JUSTIÇA DE MARANGUAPE, CONTRATO 026/2017/PGJ REFERENTE AO MES DE JAN/2024")</f>
        <v>LOCAÇÃO DE IMÓVEIS ONDE FUNCIONAM AS PROMOTORIAS DE JUSTIÇA DE MARANGUAPE, CONTRATO 026/2017/PGJ REFERENTE AO MES DE JAN/2024</v>
      </c>
      <c r="F74" s="2" t="s">
        <v>161</v>
      </c>
      <c r="G74" s="5" t="str">
        <f>HYPERLINK("http://www8.mpce.mp.br/Empenhos/150501/NE/2024NE000080.pdf","2024NE000080")</f>
        <v>2024NE000080</v>
      </c>
      <c r="H74" s="6">
        <v>4827.58</v>
      </c>
      <c r="I74" s="7" t="s">
        <v>205</v>
      </c>
      <c r="J74" s="10" t="s">
        <v>206</v>
      </c>
    </row>
    <row r="75" spans="1:10" ht="38.25" x14ac:dyDescent="0.25">
      <c r="A75" s="12" t="s">
        <v>34</v>
      </c>
      <c r="B75" s="2" t="s">
        <v>131</v>
      </c>
      <c r="C75" s="3" t="str">
        <f>HYPERLINK("https://transparencia-area-fim.mpce.mp.br/#/consulta/processo/pastadigital/092021000047808","09.2021.00004780-8")</f>
        <v>09.2021.00004780-8</v>
      </c>
      <c r="D75" s="4">
        <v>45324</v>
      </c>
      <c r="E75" s="16" t="str">
        <f>HYPERLINK("https://www8.mpce.mp.br/Empenhos/150001/Objeto/25-2021.pdf","LOCAÇÃO DE IMÓVEIS ONDE FUNCIONAM AS PROMOTORIAS DE JUSTIÇA DE ALTO SANTO, CONTRATO 025/2021/PGJ REFERENTE AO MES DE JAN/2024")</f>
        <v>LOCAÇÃO DE IMÓVEIS ONDE FUNCIONAM AS PROMOTORIAS DE JUSTIÇA DE ALTO SANTO, CONTRATO 025/2021/PGJ REFERENTE AO MES DE JAN/2024</v>
      </c>
      <c r="F75" s="2" t="s">
        <v>161</v>
      </c>
      <c r="G75" s="5" t="str">
        <f>HYPERLINK("http://www8.mpce.mp.br/Empenhos/150501/NE/2024NE000081.pdf","2024NE000081")</f>
        <v>2024NE000081</v>
      </c>
      <c r="H75" s="6">
        <v>1651.15</v>
      </c>
      <c r="I75" s="7" t="s">
        <v>207</v>
      </c>
      <c r="J75" s="10" t="s">
        <v>208</v>
      </c>
    </row>
    <row r="76" spans="1:10" ht="38.25" x14ac:dyDescent="0.25">
      <c r="A76" s="12" t="s">
        <v>34</v>
      </c>
      <c r="B76" s="2" t="s">
        <v>131</v>
      </c>
      <c r="C76" s="3" t="str">
        <f>HYPERLINK("https://transparencia-area-fim.mpce.mp.br/#/consulta/processo/pastadigital/092021000166790","09.2021.00016679-0")</f>
        <v>09.2021.00016679-0</v>
      </c>
      <c r="D76" s="4">
        <v>45324</v>
      </c>
      <c r="E76" s="16" t="str">
        <f>HYPERLINK("https://www8.mpce.mp.br/Empenhos/150001/Objeto/24-2022.pdf","LOCAÇÃO DE IMÓVEIS ONDE FUNCIONAM AS PROMOTORIAS DE JUSTIÇA DE HORIZONTE, CONTRATO 024/2022/PGJ REFERENTE AO MES DE JAN/2024")</f>
        <v>LOCAÇÃO DE IMÓVEIS ONDE FUNCIONAM AS PROMOTORIAS DE JUSTIÇA DE HORIZONTE, CONTRATO 024/2022/PGJ REFERENTE AO MES DE JAN/2024</v>
      </c>
      <c r="F76" s="2" t="s">
        <v>161</v>
      </c>
      <c r="G76" s="5" t="str">
        <f>HYPERLINK("http://www8.mpce.mp.br/Empenhos/150501/NE/2024NE000082.pdf","2024NE000082")</f>
        <v>2024NE000082</v>
      </c>
      <c r="H76" s="6">
        <v>2400</v>
      </c>
      <c r="I76" s="7" t="s">
        <v>209</v>
      </c>
      <c r="J76" s="10" t="s">
        <v>210</v>
      </c>
    </row>
    <row r="77" spans="1:10" ht="38.25" x14ac:dyDescent="0.25">
      <c r="A77" s="12" t="s">
        <v>34</v>
      </c>
      <c r="B77" s="2" t="s">
        <v>131</v>
      </c>
      <c r="C77" s="3" t="str">
        <f>HYPERLINK("http://www8.mpce.mp.br/Dispensa/575920103.pdf","5759/2010-3")</f>
        <v>5759/2010-3</v>
      </c>
      <c r="D77" s="4">
        <v>45324</v>
      </c>
      <c r="E77" s="16" t="str">
        <f>HYPERLINK("https://www8.mpce.mp.br/Empenhos/150001/Objeto/22-2010.pdf","LOCAÇÃO DE IMÓVEIS ONDE FUNCIONAM AS PROMOTORIAS DE JUSTIÇA DE GUAIÚBA, CONTRATO 022/2010/PGJ REFERENTE AO MES DE JAN/2024")</f>
        <v>LOCAÇÃO DE IMÓVEIS ONDE FUNCIONAM AS PROMOTORIAS DE JUSTIÇA DE GUAIÚBA, CONTRATO 022/2010/PGJ REFERENTE AO MES DE JAN/2024</v>
      </c>
      <c r="F77" s="2" t="s">
        <v>161</v>
      </c>
      <c r="G77" s="5" t="str">
        <f>HYPERLINK("http://www8.mpce.mp.br/Empenhos/150501/NE/2024NE000083.pdf","2024NE000083")</f>
        <v>2024NE000083</v>
      </c>
      <c r="H77" s="6">
        <v>2341.9699999999998</v>
      </c>
      <c r="I77" s="7" t="s">
        <v>211</v>
      </c>
      <c r="J77" s="10" t="s">
        <v>212</v>
      </c>
    </row>
    <row r="78" spans="1:10" ht="38.25" x14ac:dyDescent="0.25">
      <c r="A78" s="12" t="s">
        <v>34</v>
      </c>
      <c r="B78" s="2" t="s">
        <v>150</v>
      </c>
      <c r="C78" s="3" t="str">
        <f>HYPERLINK("http://www8.mpce.mp.br/Dispensa/3657120162.pdf","3657120162")</f>
        <v>3657120162</v>
      </c>
      <c r="D78" s="4">
        <v>45324</v>
      </c>
      <c r="E78" s="16" t="str">
        <f>HYPERLINK("https://www8.mpce.mp.br/Empenhos/150001/Objeto/12-2017.pdf","LOCAÇÃO DE IMÓVEIS ONDE FUNCIONAM AS PROMOTORIAS DE JUSTIÇA DE JUAZEIRO DO NORTE, CONTRATO 012/2017/PGJ REFERENTE AO MES DE JAN/2024")</f>
        <v>LOCAÇÃO DE IMÓVEIS ONDE FUNCIONAM AS PROMOTORIAS DE JUSTIÇA DE JUAZEIRO DO NORTE, CONTRATO 012/2017/PGJ REFERENTE AO MES DE JAN/2024</v>
      </c>
      <c r="F78" s="2" t="s">
        <v>161</v>
      </c>
      <c r="G78" s="5" t="str">
        <f>HYPERLINK("http://www8.mpce.mp.br/Empenhos/150501/NE/2024NE000084.pdf","2024NE000084")</f>
        <v>2024NE000084</v>
      </c>
      <c r="H78" s="6">
        <v>2022.03</v>
      </c>
      <c r="I78" s="7" t="s">
        <v>213</v>
      </c>
      <c r="J78" s="10" t="s">
        <v>214</v>
      </c>
    </row>
    <row r="79" spans="1:10" ht="38.25" x14ac:dyDescent="0.25">
      <c r="A79" s="12" t="s">
        <v>34</v>
      </c>
      <c r="B79" s="2" t="s">
        <v>131</v>
      </c>
      <c r="C79" s="3" t="str">
        <f>HYPERLINK("http://www8.mpce.mp.br/Dispensa/4572720144.pdf","45727/2014-4")</f>
        <v>45727/2014-4</v>
      </c>
      <c r="D79" s="4">
        <v>45324</v>
      </c>
      <c r="E79" s="16" t="str">
        <f>HYPERLINK("https://www8.mpce.mp.br/Empenhos/150001/Objeto/01-2015.pdf","LOCAÇÃO DE IMÓVEIS ONDE FUNCIONAM AS PROMOTORIAS DE JUSTIÇA DE JUAZEIRO DO NORTE, CONTRATO 001/2015/PGJ REFERENTE AO MES DE JAN/2024")</f>
        <v>LOCAÇÃO DE IMÓVEIS ONDE FUNCIONAM AS PROMOTORIAS DE JUSTIÇA DE JUAZEIRO DO NORTE, CONTRATO 001/2015/PGJ REFERENTE AO MES DE JAN/2024</v>
      </c>
      <c r="F79" s="2" t="s">
        <v>116</v>
      </c>
      <c r="G79" s="5" t="str">
        <f>HYPERLINK("http://www8.mpce.mp.br/Empenhos/150501/NE/2024NE000085.pdf","2024NE000085")</f>
        <v>2024NE000085</v>
      </c>
      <c r="H79" s="6">
        <v>32762.63</v>
      </c>
      <c r="I79" s="7" t="s">
        <v>215</v>
      </c>
      <c r="J79" s="10" t="s">
        <v>216</v>
      </c>
    </row>
    <row r="80" spans="1:10" ht="38.25" x14ac:dyDescent="0.25">
      <c r="A80" s="12" t="s">
        <v>34</v>
      </c>
      <c r="B80" s="2" t="s">
        <v>136</v>
      </c>
      <c r="C80" s="3" t="str">
        <f>HYPERLINK("https://transparencia-area-fim.mpce.mp.br/#/consulta/processo/pastadigital/092021000244550","09.2021.00024455-0")</f>
        <v>09.2021.00024455-0</v>
      </c>
      <c r="D80" s="4">
        <v>45324</v>
      </c>
      <c r="E80" s="16" t="str">
        <f>HYPERLINK("https://www8.mpce.mp.br/Empenhos/150001/Objeto/10-2022.pdf","ALUGUEL DO IMÓVEL ONDE FUNCIONAM AS PROMOTORIAS DE ICÓ-CE REF MÊS DE JANEIRO CONFORME CONTRATO 010/2022..")</f>
        <v>ALUGUEL DO IMÓVEL ONDE FUNCIONAM AS PROMOTORIAS DE ICÓ-CE REF MÊS DE JANEIRO CONFORME CONTRATO 010/2022..</v>
      </c>
      <c r="F80" s="2" t="s">
        <v>161</v>
      </c>
      <c r="G80" s="5" t="str">
        <f>HYPERLINK("http://www8.mpce.mp.br/Empenhos/150501/NE/2024NE000086.pdf","2024NE000086")</f>
        <v>2024NE000086</v>
      </c>
      <c r="H80" s="6">
        <v>13486.5</v>
      </c>
      <c r="I80" s="7" t="s">
        <v>217</v>
      </c>
      <c r="J80" s="10" t="s">
        <v>218</v>
      </c>
    </row>
    <row r="81" spans="1:10" ht="38.25" x14ac:dyDescent="0.25">
      <c r="A81" s="12" t="s">
        <v>34</v>
      </c>
      <c r="B81" s="2" t="s">
        <v>131</v>
      </c>
      <c r="C81" s="3" t="str">
        <f>HYPERLINK("http://www8.mpce.mp.br/Dispensa/0013520168.pdf","00135/2016-8")</f>
        <v>00135/2016-8</v>
      </c>
      <c r="D81" s="4">
        <v>45327</v>
      </c>
      <c r="E81" s="16" t="str">
        <f>HYPERLINK("https://www8.mpce.mp.br/Empenhos/150001/Objeto/09-2016.pdf","LOCAÇÃO DE IMÓVEIS ONDE FUNCIONAM AS PROMOTORIAS DE JUSTIÇA DE CANINDÉ, CONTRATO 009/2016/PGJ REFERENTE AO MES DE JAN/2024")</f>
        <v>LOCAÇÃO DE IMÓVEIS ONDE FUNCIONAM AS PROMOTORIAS DE JUSTIÇA DE CANINDÉ, CONTRATO 009/2016/PGJ REFERENTE AO MES DE JAN/2024</v>
      </c>
      <c r="F81" s="2" t="s">
        <v>161</v>
      </c>
      <c r="G81" s="5" t="str">
        <f>HYPERLINK("http://www8.mpce.mp.br/Empenhos/150501/NE/2024NE000087.pdf","2024NE000087")</f>
        <v>2024NE000087</v>
      </c>
      <c r="H81" s="6">
        <v>1685.82</v>
      </c>
      <c r="I81" s="7" t="s">
        <v>199</v>
      </c>
      <c r="J81" s="10" t="s">
        <v>200</v>
      </c>
    </row>
    <row r="82" spans="1:10" ht="38.25" x14ac:dyDescent="0.25">
      <c r="A82" s="12" t="s">
        <v>34</v>
      </c>
      <c r="B82" s="2" t="s">
        <v>131</v>
      </c>
      <c r="C82" s="3" t="str">
        <f>HYPERLINK("http://www8.mpce.mp.br/Dispensa/6795020160.pdf","6795020160")</f>
        <v>6795020160</v>
      </c>
      <c r="D82" s="4">
        <v>45327</v>
      </c>
      <c r="E82" s="16" t="str">
        <f>HYPERLINK("https://www8.mpce.mp.br/Empenhos/150001/Objeto/08-2017.pdf","LOCAÇÃO DE IMÓVEIS ONDE FUNCIONAM AS PROMOTORIAS DE JUSTIÇA DE JARDIM, CONTRATO 008/2017/PGJ REFERENTE AO MES DE JAN/2024")</f>
        <v>LOCAÇÃO DE IMÓVEIS ONDE FUNCIONAM AS PROMOTORIAS DE JUSTIÇA DE JARDIM, CONTRATO 008/2017/PGJ REFERENTE AO MES DE JAN/2024</v>
      </c>
      <c r="F82" s="2" t="s">
        <v>161</v>
      </c>
      <c r="G82" s="5" t="str">
        <f>HYPERLINK("http://www8.mpce.mp.br/Empenhos/150501/NE/2024NE000088.pdf","2024NE000088")</f>
        <v>2024NE000088</v>
      </c>
      <c r="H82" s="6">
        <v>680.03</v>
      </c>
      <c r="I82" s="7" t="s">
        <v>219</v>
      </c>
      <c r="J82" s="10" t="s">
        <v>220</v>
      </c>
    </row>
    <row r="83" spans="1:10" ht="38.25" x14ac:dyDescent="0.25">
      <c r="A83" s="12" t="s">
        <v>34</v>
      </c>
      <c r="B83" s="2" t="s">
        <v>131</v>
      </c>
      <c r="C83" s="3" t="str">
        <f>HYPERLINK("http://www8.mpce.mp.br/Dispensa/3103320192.pdf","31033/2019-2")</f>
        <v>31033/2019-2</v>
      </c>
      <c r="D83" s="4">
        <v>45327</v>
      </c>
      <c r="E83" s="16" t="str">
        <f>HYPERLINK("https://www8.mpce.mp.br/Empenhos/150001/Objeto/04-2020.pdf","LOCAÇÃO DE IMÓVEIS ONDE FUNCIONAM AS PROMOTORIAS DE JUSTIÇA DE BATURITÉ, CONTRATO 004/2020/PGJ REFERENTE AO MES DE JAN/2024")</f>
        <v>LOCAÇÃO DE IMÓVEIS ONDE FUNCIONAM AS PROMOTORIAS DE JUSTIÇA DE BATURITÉ, CONTRATO 004/2020/PGJ REFERENTE AO MES DE JAN/2024</v>
      </c>
      <c r="F83" s="2" t="s">
        <v>161</v>
      </c>
      <c r="G83" s="5" t="str">
        <f>HYPERLINK("http://www8.mpce.mp.br/Empenhos/150501/NE/2024NE000089.pdf","2024NE000089")</f>
        <v>2024NE000089</v>
      </c>
      <c r="H83" s="6">
        <v>2000</v>
      </c>
      <c r="I83" s="7" t="s">
        <v>221</v>
      </c>
      <c r="J83" s="10" t="s">
        <v>222</v>
      </c>
    </row>
    <row r="84" spans="1:10" ht="51" x14ac:dyDescent="0.25">
      <c r="A84" s="12" t="s">
        <v>34</v>
      </c>
      <c r="B84" s="2" t="s">
        <v>131</v>
      </c>
      <c r="C84" s="3" t="str">
        <f>HYPERLINK("http://www8.mpce.mp.br/Dispensa/3657120162.pdf","3657120162")</f>
        <v>3657120162</v>
      </c>
      <c r="D84" s="4">
        <v>45327</v>
      </c>
      <c r="E84" s="16" t="str">
        <f>HYPERLINK("https://www8.mpce.mp.br/Empenhos/150001/Objeto/12-2017.pdf","TAXAS CONDOMINIAIS DOS IMÓVEIS ONDE FUNCIONAM AS PROMOTORIAS DE JUSTIÇA DE JUAZEIRO DO NORTE, CONTRATO 012/2017/PGJ REFERENTE AO MES DE JAN, FEV E MAR/2024 - POR ESTIMATIVA")</f>
        <v>TAXAS CONDOMINIAIS DOS IMÓVEIS ONDE FUNCIONAM AS PROMOTORIAS DE JUSTIÇA DE JUAZEIRO DO NORTE, CONTRATO 012/2017/PGJ REFERENTE AO MES DE JAN, FEV E MAR/2024 - POR ESTIMATIVA</v>
      </c>
      <c r="F84" s="2" t="s">
        <v>223</v>
      </c>
      <c r="G84" s="5" t="str">
        <f>HYPERLINK("http://www8.mpce.mp.br/Empenhos/150501/NE/2024NE000090.pdf","2024NE000090")</f>
        <v>2024NE000090</v>
      </c>
      <c r="H84" s="6">
        <v>2280</v>
      </c>
      <c r="I84" s="7" t="s">
        <v>213</v>
      </c>
      <c r="J84" s="10" t="s">
        <v>214</v>
      </c>
    </row>
    <row r="85" spans="1:10" ht="38.25" x14ac:dyDescent="0.25">
      <c r="A85" s="12" t="s">
        <v>34</v>
      </c>
      <c r="B85" s="2" t="s">
        <v>119</v>
      </c>
      <c r="C85" s="3" t="str">
        <f>HYPERLINK("https://transparencia-area-fim.mpce.mp.br/#/consulta/processo/pastadigital/092021000079244","09.2021.00007924-4")</f>
        <v>09.2021.00007924-4</v>
      </c>
      <c r="D85" s="4">
        <v>45327</v>
      </c>
      <c r="E85" s="16" t="str">
        <f>HYPERLINK("https://www8.mpce.mp.br/Empenhos/150001/Objeto/27-2021.pdf","LOCAÇÃO DE IMÓVEIS ONDE FUNCIONAM AS PROMOTORIAS DE EUSÉBIO-CE, REFERENTE AO MÊS DE JANEIRO/2024, CONTRATO 027/2021.")</f>
        <v>LOCAÇÃO DE IMÓVEIS ONDE FUNCIONAM AS PROMOTORIAS DE EUSÉBIO-CE, REFERENTE AO MÊS DE JANEIRO/2024, CONTRATO 027/2021.</v>
      </c>
      <c r="F85" s="2" t="s">
        <v>116</v>
      </c>
      <c r="G85" s="5" t="str">
        <f>HYPERLINK("http://www8.mpce.mp.br/Empenhos/150501/NE/2024NE000091.pdf","2024NE000091")</f>
        <v>2024NE000091</v>
      </c>
      <c r="H85" s="6">
        <v>5546.1</v>
      </c>
      <c r="I85" s="7" t="s">
        <v>144</v>
      </c>
      <c r="J85" s="10" t="s">
        <v>145</v>
      </c>
    </row>
    <row r="86" spans="1:10" ht="51" x14ac:dyDescent="0.25">
      <c r="A86" s="12" t="s">
        <v>34</v>
      </c>
      <c r="B86" s="2" t="s">
        <v>131</v>
      </c>
      <c r="C86" s="3" t="str">
        <f>HYPERLINK("http://www8.mpce.mp.br/Dispensa/2398120192.pdf","23981/2019-2")</f>
        <v>23981/2019-2</v>
      </c>
      <c r="D86" s="4">
        <v>45327</v>
      </c>
      <c r="E86" s="16" t="str">
        <f>HYPERLINK("https://www8.mpce.mp.br/Empenhos/150001/Objeto/63-2019.pdf","TAXAS CONDOMINIAIS DOS IMÓVEIS ONDE FUNCIONAM AS PROMOTORIAS DE JUSTIÇA DE JUAZEIRO DO NORTE, CONTRATO 063/2019/PGJ REFERENTE AO MES DE JAN, FEV E MAR/2024 - POR ESTIMATIVA")</f>
        <v>TAXAS CONDOMINIAIS DOS IMÓVEIS ONDE FUNCIONAM AS PROMOTORIAS DE JUSTIÇA DE JUAZEIRO DO NORTE, CONTRATO 063/2019/PGJ REFERENTE AO MES DE JAN, FEV E MAR/2024 - POR ESTIMATIVA</v>
      </c>
      <c r="F86" s="2" t="s">
        <v>223</v>
      </c>
      <c r="G86" s="5" t="str">
        <f>HYPERLINK("http://www8.mpce.mp.br/Empenhos/150501/NE/2024NE000092.pdf","2024NE000092")</f>
        <v>2024NE000092</v>
      </c>
      <c r="H86" s="6">
        <v>1140</v>
      </c>
      <c r="I86" s="7" t="s">
        <v>166</v>
      </c>
      <c r="J86" s="10" t="s">
        <v>167</v>
      </c>
    </row>
    <row r="87" spans="1:10" ht="51" x14ac:dyDescent="0.25">
      <c r="A87" s="12" t="s">
        <v>34</v>
      </c>
      <c r="B87" s="2" t="s">
        <v>224</v>
      </c>
      <c r="C87" s="3" t="str">
        <f>HYPERLINK("https://transparencia-area-fim.mpce.mp.br/#/consulta/processo/pastadigital/092022000120475","09.2022.00012047-5")</f>
        <v>09.2022.00012047-5</v>
      </c>
      <c r="D87" s="4">
        <v>45322</v>
      </c>
      <c r="E87" s="16" t="str">
        <f>HYPERLINK("https://www8.mpce.mp.br/Empenhos/150001/Objeto/54-2022.pdf","SERVIÇOS DE INFORMAÇÕES DE CRÉDITOS, REF A CONSULTAS DE DADOS CADASTRAIS DE AMBITO NACIONAL, REF COMPETENCIA DE JANEIRO DE 2024 CONFORME CONTRATO 54/2022.")</f>
        <v>SERVIÇOS DE INFORMAÇÕES DE CRÉDITOS, REF A CONSULTAS DE DADOS CADASTRAIS DE AMBITO NACIONAL, REF COMPETENCIA DE JANEIRO DE 2024 CONFORME CONTRATO 54/2022.</v>
      </c>
      <c r="F87" s="2" t="s">
        <v>225</v>
      </c>
      <c r="G87" s="5" t="str">
        <f>HYPERLINK("http://www8.mpce.mp.br/Empenhos/150001/NE/2024NE000092.pdf","2024NE000092")</f>
        <v>2024NE000092</v>
      </c>
      <c r="H87" s="6">
        <v>17000</v>
      </c>
      <c r="I87" s="7" t="s">
        <v>226</v>
      </c>
      <c r="J87" s="10" t="s">
        <v>227</v>
      </c>
    </row>
    <row r="88" spans="1:10" ht="38.25" x14ac:dyDescent="0.25">
      <c r="A88" s="12" t="s">
        <v>34</v>
      </c>
      <c r="B88" s="2" t="s">
        <v>228</v>
      </c>
      <c r="C88" s="3" t="str">
        <f>HYPERLINK("https://transparencia-area-fim.mpce.mp.br/#/consulta/processo/pastadigital/092022000110511","09.2022.00011051-1")</f>
        <v>09.2022.00011051-1</v>
      </c>
      <c r="D88" s="4">
        <v>45327</v>
      </c>
      <c r="E88" s="16" t="str">
        <f>HYPERLINK("https://www8.mpce.mp.br/Empenhos/150001/Objeto/38-2022.pdf","LOCAÇÃO DE IMÓVEL ONDE FUNCIONAM AS PROMOTORIAS DE NOVA OLINDA, CONFORME CONTRATO 038/2022,REFERENTE AO MES DE JANEIRO/2024.")</f>
        <v>LOCAÇÃO DE IMÓVEL ONDE FUNCIONAM AS PROMOTORIAS DE NOVA OLINDA, CONFORME CONTRATO 038/2022,REFERENTE AO MES DE JANEIRO/2024.</v>
      </c>
      <c r="F88" s="2" t="s">
        <v>161</v>
      </c>
      <c r="G88" s="5" t="str">
        <f>HYPERLINK("http://www8.mpce.mp.br/Empenhos/150501/NE/2024NE000093.pdf","2024NE000093")</f>
        <v>2024NE000093</v>
      </c>
      <c r="H88" s="6">
        <v>2000</v>
      </c>
      <c r="I88" s="7" t="s">
        <v>229</v>
      </c>
      <c r="J88" s="10" t="s">
        <v>230</v>
      </c>
    </row>
    <row r="89" spans="1:10" ht="51" x14ac:dyDescent="0.25">
      <c r="A89" s="12" t="s">
        <v>34</v>
      </c>
      <c r="B89" s="2" t="s">
        <v>131</v>
      </c>
      <c r="C89" s="3" t="str">
        <f>HYPERLINK("https://transparencia-area-fim.mpce.mp.br/#/consulta/processo/pastadigital/092021000079244","09.2021.00007924-4")</f>
        <v>09.2021.00007924-4</v>
      </c>
      <c r="D89" s="4">
        <v>45327</v>
      </c>
      <c r="E89" s="16" t="str">
        <f>HYPERLINK("https://www8.mpce.mp.br/Empenhos/150001/Objeto/27-2021.pdf","TAXAS CONDOMINIAIS DOS IMÓVEIS ONDE FUNCIONAM AS PROMOTORIAS DE JUSTIÇA DE EUSÉBIO, CONTRATO 027/2021/PGJ REFERENTE AO MES DE JAN, FEV E MAR/2024 - POR ESTIMATIVA")</f>
        <v>TAXAS CONDOMINIAIS DOS IMÓVEIS ONDE FUNCIONAM AS PROMOTORIAS DE JUSTIÇA DE EUSÉBIO, CONTRATO 027/2021/PGJ REFERENTE AO MES DE JAN, FEV E MAR/2024 - POR ESTIMATIVA</v>
      </c>
      <c r="F89" s="2" t="s">
        <v>231</v>
      </c>
      <c r="G89" s="5" t="str">
        <f>HYPERLINK("http://www8.mpce.mp.br/Empenhos/150501/NE/2024NE000094.pdf","2024NE000094")</f>
        <v>2024NE000094</v>
      </c>
      <c r="H89" s="6">
        <v>4463.6400000000003</v>
      </c>
      <c r="I89" s="7" t="s">
        <v>144</v>
      </c>
      <c r="J89" s="10" t="s">
        <v>145</v>
      </c>
    </row>
    <row r="90" spans="1:10" ht="51" x14ac:dyDescent="0.25">
      <c r="A90" s="12" t="s">
        <v>34</v>
      </c>
      <c r="B90" s="2" t="s">
        <v>131</v>
      </c>
      <c r="C90" s="3" t="str">
        <f>HYPERLINK("http://www8.mpce.mp.br/Dispensa/1291020194.pdf","12910/2019-4")</f>
        <v>12910/2019-4</v>
      </c>
      <c r="D90" s="4">
        <v>45327</v>
      </c>
      <c r="E90" s="16" t="str">
        <f>HYPERLINK("https://www8.mpce.mp.br/Empenhos/150001/Objeto/39-2019.pdf","TAXAS CONDOMINIAIS DOS IMÓVEIS ONDE FUNCIONAM AS PROMOTORIAS DA INFÂNCIA E JUVENTUDE, CONTRATO 039/2019/PGJ REFERENTE AO MES DE JAN, FEV E MAR/2024 - POR ESTIMATIVA")</f>
        <v>TAXAS CONDOMINIAIS DOS IMÓVEIS ONDE FUNCIONAM AS PROMOTORIAS DA INFÂNCIA E JUVENTUDE, CONTRATO 039/2019/PGJ REFERENTE AO MES DE JAN, FEV E MAR/2024 - POR ESTIMATIVA</v>
      </c>
      <c r="F90" s="2" t="s">
        <v>231</v>
      </c>
      <c r="G90" s="5" t="str">
        <f>HYPERLINK("http://www8.mpce.mp.br/Empenhos/150501/NE/2024NE000095.pdf","2024NE000095")</f>
        <v>2024NE000095</v>
      </c>
      <c r="H90" s="6">
        <v>8177.55</v>
      </c>
      <c r="I90" s="7" t="s">
        <v>148</v>
      </c>
      <c r="J90" s="10" t="s">
        <v>149</v>
      </c>
    </row>
    <row r="91" spans="1:10" ht="38.25" x14ac:dyDescent="0.25">
      <c r="A91" s="12" t="s">
        <v>34</v>
      </c>
      <c r="B91" s="2" t="s">
        <v>228</v>
      </c>
      <c r="C91" s="3" t="str">
        <f>HYPERLINK("http://www8.mpce.mp.br/Dispensa/146020136.pdf","1460/2013-6")</f>
        <v>1460/2013-6</v>
      </c>
      <c r="D91" s="4">
        <v>45327</v>
      </c>
      <c r="E91" s="16" t="str">
        <f>HYPERLINK("https://www8.mpce.mp.br/Empenhos/150001/Objeto/39-2013.pdf","LOCAÇÃO DE IMÓVEL ONDE FUNCIONAM AS PROMOTORIAS DE CASCAVEL-CE REF A JANEIRO DE 2024, CONFORME CONTRATO 39/2013")</f>
        <v>LOCAÇÃO DE IMÓVEL ONDE FUNCIONAM AS PROMOTORIAS DE CASCAVEL-CE REF A JANEIRO DE 2024, CONFORME CONTRATO 39/2013</v>
      </c>
      <c r="F91" s="2" t="s">
        <v>161</v>
      </c>
      <c r="G91" s="5" t="str">
        <f>HYPERLINK("http://www8.mpce.mp.br/Empenhos/150501/NE/2024NE000096.pdf","2024NE000096")</f>
        <v>2024NE000096</v>
      </c>
      <c r="H91" s="6">
        <v>4341.5600000000004</v>
      </c>
      <c r="I91" s="7" t="s">
        <v>232</v>
      </c>
      <c r="J91" s="10" t="s">
        <v>233</v>
      </c>
    </row>
    <row r="92" spans="1:10" ht="51" x14ac:dyDescent="0.25">
      <c r="A92" s="12" t="s">
        <v>34</v>
      </c>
      <c r="B92" s="2" t="s">
        <v>181</v>
      </c>
      <c r="C92" s="3" t="str">
        <f>HYPERLINK("https://transparencia-area-fim.mpce.mp.br/#/consulta/processo/pastadigital/092021000219739","09.2021.00021973-9")</f>
        <v>09.2021.00021973-9</v>
      </c>
      <c r="D92" s="4">
        <v>45328</v>
      </c>
      <c r="E92" s="16" t="str">
        <f>HYPERLINK("https://www8.mpce.mp.br/Empenhos/150001/Objeto/45-2021.pdf","TAXAS CONDOMINIAIS DOS MESES DE JANEIRO A MARÇO/2023V DO IMÓVEL DAS PROMOTORIAS DE JUSTIÇA DO EUZÉBIO, POR ESTIMATIVA E CONFORME CONTRATO 45/2021")</f>
        <v>TAXAS CONDOMINIAIS DOS MESES DE JANEIRO A MARÇO/2023V DO IMÓVEL DAS PROMOTORIAS DE JUSTIÇA DO EUZÉBIO, POR ESTIMATIVA E CONFORME CONTRATO 45/2021</v>
      </c>
      <c r="F92" s="2" t="s">
        <v>231</v>
      </c>
      <c r="G92" s="5" t="str">
        <f>HYPERLINK("http://www8.mpce.mp.br/Empenhos/150501/NE/2024NE000098.pdf","2024NE000098")</f>
        <v>2024NE000098</v>
      </c>
      <c r="H92" s="6">
        <v>1387.47</v>
      </c>
      <c r="I92" s="7" t="s">
        <v>144</v>
      </c>
      <c r="J92" s="10" t="s">
        <v>145</v>
      </c>
    </row>
    <row r="93" spans="1:10" ht="38.25" x14ac:dyDescent="0.25">
      <c r="A93" s="12" t="s">
        <v>34</v>
      </c>
      <c r="B93" s="2" t="s">
        <v>190</v>
      </c>
      <c r="C93" s="3" t="str">
        <f>HYPERLINK("https://transparencia-area-fim.mpce.mp.br/#/consulta/processo/pastadigital/092022000343795","09.2022.00034379-5")</f>
        <v>09.2022.00034379-5</v>
      </c>
      <c r="D93" s="4">
        <v>45328</v>
      </c>
      <c r="E93" s="16" t="str">
        <f>HYPERLINK("https://www8.mpce.mp.br/Empenhos/150001/Objeto/25-2023.pdf","LOCAÇÃO DE IMÓVEL ONDE FUNCIONAM AS PROMOTORIAS DE COMARCA DE CANINDÉ-CE, REFERENTE AO MÊS DE JANEIRO/2024 CONFORME CONTRATO 25/2023")</f>
        <v>LOCAÇÃO DE IMÓVEL ONDE FUNCIONAM AS PROMOTORIAS DE COMARCA DE CANINDÉ-CE, REFERENTE AO MÊS DE JANEIRO/2024 CONFORME CONTRATO 25/2023</v>
      </c>
      <c r="F93" s="2" t="s">
        <v>116</v>
      </c>
      <c r="G93" s="5" t="str">
        <f>HYPERLINK("http://www8.mpce.mp.br/Empenhos/150501/NE/2024NE000099.pdf","2024NE000099")</f>
        <v>2024NE000099</v>
      </c>
      <c r="H93" s="6">
        <v>14000</v>
      </c>
      <c r="I93" s="7" t="s">
        <v>234</v>
      </c>
      <c r="J93" s="10" t="s">
        <v>235</v>
      </c>
    </row>
    <row r="94" spans="1:10" ht="38.25" x14ac:dyDescent="0.25">
      <c r="A94" s="12" t="s">
        <v>34</v>
      </c>
      <c r="B94" s="2" t="s">
        <v>181</v>
      </c>
      <c r="C94" s="3" t="str">
        <f>HYPERLINK("http://www8.mpce.mp.br/Dispensa/4503020176.pdf","45030/2017-6")</f>
        <v>45030/2017-6</v>
      </c>
      <c r="D94" s="4">
        <v>45329</v>
      </c>
      <c r="E94" s="16" t="str">
        <f>HYPERLINK("https://www8.mpce.mp.br/Empenhos/150001/Objeto/74-2019.pdf","LOCAÇÃO DE IMÓVEL ONDE FUNCIONA A PROMOTORIA DE JUSTIÇA DE GRANJA-CE, REFERENTE AO CONTRATO 074/2019 E RELATIVO AO MÊS DE JANEIRO/2024.")</f>
        <v>LOCAÇÃO DE IMÓVEL ONDE FUNCIONA A PROMOTORIA DE JUSTIÇA DE GRANJA-CE, REFERENTE AO CONTRATO 074/2019 E RELATIVO AO MÊS DE JANEIRO/2024.</v>
      </c>
      <c r="F94" s="2" t="s">
        <v>161</v>
      </c>
      <c r="G94" s="5" t="str">
        <f>HYPERLINK("http://www8.mpce.mp.br/Empenhos/150501/NE/2024NE000100.pdf","2024NE000100")</f>
        <v>2024NE000100</v>
      </c>
      <c r="H94" s="6">
        <v>2188.0100000000002</v>
      </c>
      <c r="I94" s="7" t="s">
        <v>236</v>
      </c>
      <c r="J94" s="10" t="s">
        <v>237</v>
      </c>
    </row>
    <row r="95" spans="1:10" ht="51" x14ac:dyDescent="0.25">
      <c r="A95" s="12" t="s">
        <v>34</v>
      </c>
      <c r="B95" s="2" t="s">
        <v>181</v>
      </c>
      <c r="C95" s="3" t="str">
        <f>HYPERLINK("https://transparencia-area-fim.mpce.mp.br/#/consulta/processo/pastadigital/092022000343840","09.2022.00034384-0")</f>
        <v>09.2022.00034384-0</v>
      </c>
      <c r="D95" s="4">
        <v>45336</v>
      </c>
      <c r="E95" s="16" t="str">
        <f>HYPERLINK("https://www8.mpce.mp.br/Empenhos/150001/Objeto/11-2023.pdf","LOCAÇÃO DE IMÓVEL ONDE FUNCIONA A PROMOTORIA DE JUSTIÇA DE SANTA QUITÉRIA-CE, REFERENTE AOS MESES DE  JANEIRO A MARÇO DE 2024 CONFORME CONTRATO 011/2023.")</f>
        <v>LOCAÇÃO DE IMÓVEL ONDE FUNCIONA A PROMOTORIA DE JUSTIÇA DE SANTA QUITÉRIA-CE, REFERENTE AOS MESES DE  JANEIRO A MARÇO DE 2024 CONFORME CONTRATO 011/2023.</v>
      </c>
      <c r="F95" s="2" t="s">
        <v>116</v>
      </c>
      <c r="G95" s="5" t="str">
        <f>HYPERLINK("http://www8.mpce.mp.br/Empenhos/150501/NE/2024NE000118.pdf","2024NE000118")</f>
        <v>2024NE000118</v>
      </c>
      <c r="H95" s="6">
        <v>39600</v>
      </c>
      <c r="I95" s="7" t="s">
        <v>238</v>
      </c>
      <c r="J95" s="10" t="s">
        <v>239</v>
      </c>
    </row>
    <row r="96" spans="1:10" ht="51" x14ac:dyDescent="0.25">
      <c r="A96" s="12" t="s">
        <v>34</v>
      </c>
      <c r="B96" s="2" t="s">
        <v>181</v>
      </c>
      <c r="C96" s="3" t="str">
        <f>HYPERLINK("https://transparencia-area-fim.mpce.mp.br/#/consulta/processo/pastadigital/092022000343818","09.2022.00034381-8")</f>
        <v>09.2022.00034381-8</v>
      </c>
      <c r="D96" s="4">
        <v>45336</v>
      </c>
      <c r="E96" s="16" t="str">
        <f>HYPERLINK("https://www8.mpce.mp.br/Empenhos/150001/Objeto/24-2023.pdf","LOCAÇÃO DE IMÓVEL DAS PROMOTORIAS DE JUSTIÇA DE ITAPIPOCA-CE , POR ESTIMATIVA, RELATIVOS AOS MESES DE JANEIRO A MARÇO/2024 E CONFORME CONTRATO 24/2023.")</f>
        <v>LOCAÇÃO DE IMÓVEL DAS PROMOTORIAS DE JUSTIÇA DE ITAPIPOCA-CE , POR ESTIMATIVA, RELATIVOS AOS MESES DE JANEIRO A MARÇO/2024 E CONFORME CONTRATO 24/2023.</v>
      </c>
      <c r="F96" s="2" t="s">
        <v>116</v>
      </c>
      <c r="G96" s="5" t="str">
        <f>HYPERLINK("http://www8.mpce.mp.br/Empenhos/150501/NE/2024NE000119.pdf","2024NE000119")</f>
        <v>2024NE000119</v>
      </c>
      <c r="H96" s="6">
        <v>54000</v>
      </c>
      <c r="I96" s="7" t="s">
        <v>240</v>
      </c>
      <c r="J96" s="10" t="s">
        <v>241</v>
      </c>
    </row>
    <row r="97" spans="1:14" ht="63.75" x14ac:dyDescent="0.25">
      <c r="A97" s="12" t="s">
        <v>34</v>
      </c>
      <c r="B97" s="2" t="s">
        <v>242</v>
      </c>
      <c r="C97" s="3" t="str">
        <f>HYPERLINK("https://transparencia-area-fim.mpce.mp.br/#/consulta/processo/pastadigital/092022000111032","09.2022.00011103-2")</f>
        <v>09.2022.00011103-2</v>
      </c>
      <c r="D97" s="4">
        <v>45338</v>
      </c>
      <c r="E97" s="16" t="str">
        <f>HYPERLINK("https://www8.mpce.mp.br/Empenhos/150001/Objeto/23-2022.pdf","EMPENHO DE PROVIMENTO DE RECURSOS EM NUVEM, SERVIÇOS TÉCNICOS ESPECIALIZADOS E LINK DEDICADO PARA A NUVEM, CONFORME CONTRATO 023/2022 E PROJETO 052/2023, REF. AOS MESES DE JAN, FEV, E MARÇO DE 2024.")</f>
        <v>EMPENHO DE PROVIMENTO DE RECURSOS EM NUVEM, SERVIÇOS TÉCNICOS ESPECIALIZADOS E LINK DEDICADO PARA A NUVEM, CONFORME CONTRATO 023/2022 E PROJETO 052/2023, REF. AOS MESES DE JAN, FEV, E MARÇO DE 2024.</v>
      </c>
      <c r="F97" s="2" t="s">
        <v>243</v>
      </c>
      <c r="G97" s="5" t="str">
        <f>HYPERLINK("http://www8.mpce.mp.br/Empenhos/150501/NE/2024NE000124.pdf","2024NE000124")</f>
        <v>2024NE000124</v>
      </c>
      <c r="H97" s="6">
        <v>135000</v>
      </c>
      <c r="I97" s="7" t="s">
        <v>244</v>
      </c>
      <c r="J97" s="10" t="s">
        <v>245</v>
      </c>
    </row>
    <row r="98" spans="1:14" ht="38.25" x14ac:dyDescent="0.25">
      <c r="A98" s="12" t="s">
        <v>9</v>
      </c>
      <c r="B98" s="2" t="s">
        <v>10</v>
      </c>
      <c r="C98" s="3" t="str">
        <f>HYPERLINK("https://transparencia-area-fim.mpce.mp.br/#/consulta/processo/pastadigital/092023000368013","09.2023.00036801-3")</f>
        <v>09.2023.00036801-3</v>
      </c>
      <c r="D98" s="4">
        <v>45338</v>
      </c>
      <c r="E98" s="16" t="str">
        <f>HYPERLINK("https://www8.mpce.mp.br/Empenhos/150001/Objeto/62-2023.pdf","FORNECIMENTO DE SOLUÇÕES AVANÇADAS CONFORME CONTRATO 062/2023, POR INEXIGIBILIDADE DE LICITAÇÃO E CONFORME PROJETO 064/2023.")</f>
        <v>FORNECIMENTO DE SOLUÇÕES AVANÇADAS CONFORME CONTRATO 062/2023, POR INEXIGIBILIDADE DE LICITAÇÃO E CONFORME PROJETO 064/2023.</v>
      </c>
      <c r="F98" s="2" t="s">
        <v>246</v>
      </c>
      <c r="G98" s="5" t="str">
        <f>HYPERLINK("http://www8.mpce.mp.br/Empenhos/150501/NE/2024NE000125.pdf","2024NE000125")</f>
        <v>2024NE000125</v>
      </c>
      <c r="H98" s="6">
        <v>1179298.5</v>
      </c>
      <c r="I98" s="7" t="s">
        <v>247</v>
      </c>
      <c r="J98" s="10" t="s">
        <v>248</v>
      </c>
    </row>
    <row r="99" spans="1:14" ht="105" x14ac:dyDescent="0.25">
      <c r="A99" s="12" t="s">
        <v>34</v>
      </c>
      <c r="B99" s="2" t="s">
        <v>249</v>
      </c>
      <c r="C99" s="3" t="str">
        <f>HYPERLINK("https://transparencia-area-fim.mpce.mp.br/#/consulta/processo/pastadigital/092023000117363","09.2023.00011736-3")</f>
        <v>09.2023.00011736-3</v>
      </c>
      <c r="D99" s="4">
        <v>45338</v>
      </c>
      <c r="E99" s="17" t="str">
        <f>HYPERLINK("https://www8.mpce.mp.br/Empenhos/150001/Objeto/32-2023.pdf","DISPONIBILIZAÇÃO DE SOLUÇÃO TECNOLÓGICA NA MODALIDADE SOFTWARE COMO SERVIÇO (SAAS) PARA GESTÃO INTEGRADA DE ESTRATÉGIA, PORTFÓLIO, PROJETOS, TAREFAS, REUNIÕES INDICADORES E PROCESSOS. (LICENÇA/MÊS), REFERENTE AOS MESES DE JANEIRO,"&amp;" FEVEREIRO E MARÇO DE 2024, RELATIVO AO CONTRATO 032/2023 E PROJETO FRMMP Nº 025/2023.")</f>
        <v>DISPONIBILIZAÇÃO DE SOLUÇÃO TECNOLÓGICA NA MODALIDADE SOFTWARE COMO SERVIÇO (SAAS) PARA GESTÃO INTEGRADA DE ESTRATÉGIA, PORTFÓLIO, PROJETOS, TAREFAS, REUNIÕES INDICADORES E PROCESSOS. (LICENÇA/MÊS), REFERENTE AOS MESES DE JANEIRO, FEVEREIRO E MARÇO DE 2024, RELATIVO AO CONTRATO 032/2023 E PROJETO FRMMP Nº 025/2023.</v>
      </c>
      <c r="F99" s="2" t="s">
        <v>250</v>
      </c>
      <c r="G99" s="5" t="str">
        <f>HYPERLINK("http://www8.mpce.mp.br/Empenhos/150501/NE/2024NE000126.pdf","2024NE000126")</f>
        <v>2024NE000126</v>
      </c>
      <c r="H99" s="6">
        <v>18649.259999999998</v>
      </c>
      <c r="I99" s="7" t="s">
        <v>244</v>
      </c>
      <c r="J99" s="10" t="s">
        <v>245</v>
      </c>
    </row>
    <row r="100" spans="1:14" ht="51" x14ac:dyDescent="0.25">
      <c r="A100" s="12" t="s">
        <v>34</v>
      </c>
      <c r="B100" s="2" t="s">
        <v>251</v>
      </c>
      <c r="C100" s="3" t="str">
        <f>HYPERLINK("http://www8.mpce.mp.br/Dispensa/48729162.pdf","48729/16-2")</f>
        <v>48729/16-2</v>
      </c>
      <c r="D100" s="4">
        <v>45338</v>
      </c>
      <c r="E100" s="16" t="str">
        <f>HYPERLINK("https://www8.mpce.mp.br/Empenhos/150001/Objeto/06-2017.pdf","EMPENHO DE TAVA DE LIXO, 1ª E 2ª PARCELAS, REF. AO IMÓVEL ONDE FUNCIONAM AS PROMOTORIAS DE JUSTIÇA CÍVEIS, LOCALIZADO À RUA LOURENÇO FEITOSA, 16, BAIRRO JOSÉ BONIFÁCIO, CONF. CONTRATO 006/2017/PGJ.")</f>
        <v>EMPENHO DE TAVA DE LIXO, 1ª E 2ª PARCELAS, REF. AO IMÓVEL ONDE FUNCIONAM AS PROMOTORIAS DE JUSTIÇA CÍVEIS, LOCALIZADO À RUA LOURENÇO FEITOSA, 16, BAIRRO JOSÉ BONIFÁCIO, CONF. CONTRATO 006/2017/PGJ.</v>
      </c>
      <c r="F100" s="2" t="s">
        <v>252</v>
      </c>
      <c r="G100" s="5" t="str">
        <f>HYPERLINK("http://www8.mpce.mp.br/Empenhos/150501/NE/2024NE000127.pdf","2024NE000127")</f>
        <v>2024NE000127</v>
      </c>
      <c r="H100" s="6">
        <v>589.08000000000004</v>
      </c>
      <c r="I100" s="7" t="s">
        <v>126</v>
      </c>
      <c r="J100" s="10" t="s">
        <v>127</v>
      </c>
      <c r="K100" t="str">
        <f>HYPERLINK("http://www8.mpce.mp.br/Empenhos/150001/NE/2024NE000002.pdf","2024NE000002")</f>
        <v>2024NE000002</v>
      </c>
      <c r="L100">
        <v>300</v>
      </c>
      <c r="M100" t="s">
        <v>14</v>
      </c>
      <c r="N100">
        <v>7676836000150</v>
      </c>
    </row>
    <row r="101" spans="1:14" ht="51" x14ac:dyDescent="0.25">
      <c r="A101" s="12" t="s">
        <v>34</v>
      </c>
      <c r="B101" s="2" t="s">
        <v>251</v>
      </c>
      <c r="C101" s="3" t="str">
        <f>HYPERLINK("http://www8.mpce.mp.br/Dispensa/48729162.pdf","48729/16-2")</f>
        <v>48729/16-2</v>
      </c>
      <c r="D101" s="4">
        <v>45338</v>
      </c>
      <c r="E101" s="16" t="str">
        <f>HYPERLINK("https://www8.mpce.mp.br/Empenhos/150001/Objeto/06-2017.pdf","EMPENHO DE IPTU/2024, 1ª E 2ª PARCELAS, REF. AO IMÓVEL ONDE FUNCIONAL  AS PROMOTORIAS DE JUSTIÇA CÍVEIS, LOCALIZADA À RUA LOURENÇO FEITOSA, 16, BAIRRO JOSÉ BONIFÁCIO, CONF. CONTRATO Nº 006/2017/PGJ.")</f>
        <v>EMPENHO DE IPTU/2024, 1ª E 2ª PARCELAS, REF. AO IMÓVEL ONDE FUNCIONAL  AS PROMOTORIAS DE JUSTIÇA CÍVEIS, LOCALIZADA À RUA LOURENÇO FEITOSA, 16, BAIRRO JOSÉ BONIFÁCIO, CONF. CONTRATO Nº 006/2017/PGJ.</v>
      </c>
      <c r="F101" s="2" t="s">
        <v>252</v>
      </c>
      <c r="G101" s="5" t="str">
        <f>HYPERLINK("http://www8.mpce.mp.br/Empenhos/150501/NE/2024NE000129.pdf","2024NE000129")</f>
        <v>2024NE000129</v>
      </c>
      <c r="H101" s="6">
        <v>6852.62</v>
      </c>
      <c r="I101" s="7" t="s">
        <v>126</v>
      </c>
      <c r="J101" s="10" t="s">
        <v>127</v>
      </c>
      <c r="K101" t="str">
        <f>HYPERLINK("http://www8.mpce.mp.br/Empenhos/150001/NE/2024NE000003.pdf","2024NE000003")</f>
        <v>2024NE000003</v>
      </c>
      <c r="L101" s="13">
        <v>1050</v>
      </c>
      <c r="M101" t="s">
        <v>19</v>
      </c>
      <c r="N101">
        <v>7742778000115</v>
      </c>
    </row>
    <row r="102" spans="1:14" ht="90" x14ac:dyDescent="0.25">
      <c r="A102" s="12" t="s">
        <v>9</v>
      </c>
      <c r="B102" s="2" t="s">
        <v>10</v>
      </c>
      <c r="C102" s="3" t="str">
        <f>HYPERLINK("http://www8.mpce.mp.br/Inexigibilidade/1045920194.pdf","10459/2019-4")</f>
        <v>10459/2019-4</v>
      </c>
      <c r="D102" s="4">
        <v>45341</v>
      </c>
      <c r="E102" s="17" t="str">
        <f>HYPERLINK("https://www8.mpce.mp.br/Empenhos/150001/Objeto/47-2019.pdf","SERVIÇOS DE PERÍCIA E ASSESSORIA TÉCNICA ESPECIALIZADAS, ANÁLISES FÍSICO QUÍMICAS EM AMOSTRAS DE COMBUSTÍVEIS (GASOLINA, ÓLEO DIESEL E ETANOL), "&amp;"CONTRATO 047/2019, EMPENHO POR ESTIMATIVA REFERENTE AOS MESES DE FEV, MAR, ABR, MAI, JUN E JUL (PROPORCIONAL DE 16 DIAS) DE 2024.")</f>
        <v>SERVIÇOS DE PERÍCIA E ASSESSORIA TÉCNICA ESPECIALIZADAS, ANÁLISES FÍSICO QUÍMICAS EM AMOSTRAS DE COMBUSTÍVEIS (GASOLINA, ÓLEO DIESEL E ETANOL), CONTRATO 047/2019, EMPENHO POR ESTIMATIVA REFERENTE AOS MESES DE FEV, MAR, ABR, MAI, JUN E JUL (PROPORCIONAL DE 16 DIAS) DE 2024.</v>
      </c>
      <c r="F102" s="2" t="s">
        <v>253</v>
      </c>
      <c r="G102" s="5" t="str">
        <f>HYPERLINK("http://www8.mpce.mp.br/Empenhos/150501/NE/2024NE000132.pdf","2024NE000132")</f>
        <v>2024NE000132</v>
      </c>
      <c r="H102" s="6">
        <v>51948.800000000003</v>
      </c>
      <c r="I102" s="7" t="s">
        <v>254</v>
      </c>
      <c r="J102" s="10" t="s">
        <v>829</v>
      </c>
      <c r="K102" t="str">
        <f>HYPERLINK("http://www8.mpce.mp.br/Empenhos/150501/NE/2024NE000003.pdf","2024NE000003")</f>
        <v>2024NE000003</v>
      </c>
      <c r="L102" s="13">
        <v>54790.38</v>
      </c>
      <c r="M102" t="s">
        <v>22</v>
      </c>
      <c r="N102">
        <v>83472803000176</v>
      </c>
    </row>
    <row r="103" spans="1:14" ht="105" x14ac:dyDescent="0.25">
      <c r="A103" s="12" t="s">
        <v>34</v>
      </c>
      <c r="B103" s="2" t="s">
        <v>255</v>
      </c>
      <c r="C103" s="3" t="str">
        <f>HYPERLINK("https://transparencia-area-fim.mpce.mp.br/#/consulta/processo/pastadigital/092021000349974","09.2021.00034997-4")</f>
        <v>09.2021.00034997-4</v>
      </c>
      <c r="D103" s="4">
        <v>45341</v>
      </c>
      <c r="E103" s="17" t="str">
        <f>HYPERLINK("https://www8.mpce.mp.br/Empenhos/150001/Objeto/01-2022.pdf","EMPENHO REFERENTE A DISPONIBILIZAÇÃO, ADEQUAÇÃO, AUTOMAÇÃO E USO DE SOLUÇÃO TECNOLÓGICA PARA RELACIONAMENTO COM O CIDADÃO E DIGITALIZAÇÃO DE SERVIÇOS PÚBLICOS"&amp;" (MODELO SAAS),  INCLUINDO SUPORTE TÉCNICO E TREINAMENTO, CONTRATO 001/2022 - PROJETO 052/2023, POR ESTIMATIVA, REFERENTE AOS MESES DE JAN, FEV E MAR/2024.")</f>
        <v>EMPENHO REFERENTE A DISPONIBILIZAÇÃO, ADEQUAÇÃO, AUTOMAÇÃO E USO DE SOLUÇÃO TECNOLÓGICA PARA RELACIONAMENTO COM O CIDADÃO E DIGITALIZAÇÃO DE SERVIÇOS PÚBLICOS (MODELO SAAS),  INCLUINDO SUPORTE TÉCNICO E TREINAMENTO, CONTRATO 001/2022 - PROJETO 052/2023, POR ESTIMATIVA, REFERENTE AOS MESES DE JAN, FEV E MAR/2024.</v>
      </c>
      <c r="F103" s="2" t="s">
        <v>109</v>
      </c>
      <c r="G103" s="5" t="str">
        <f>HYPERLINK("http://www8.mpce.mp.br/Empenhos/150501/NE/2024NE000134.pdf","2024NE000134")</f>
        <v>2024NE000134</v>
      </c>
      <c r="H103" s="6">
        <v>151416</v>
      </c>
      <c r="I103" s="7" t="s">
        <v>244</v>
      </c>
      <c r="J103" s="10" t="s">
        <v>245</v>
      </c>
      <c r="K103" t="str">
        <f>HYPERLINK("http://www8.mpce.mp.br/Empenhos/150001/NE/2024NE000004.pdf","2024NE000004")</f>
        <v>2024NE000004</v>
      </c>
      <c r="L103">
        <v>900</v>
      </c>
      <c r="M103" t="s">
        <v>27</v>
      </c>
      <c r="N103">
        <v>7625932000179</v>
      </c>
    </row>
    <row r="104" spans="1:14" ht="51" x14ac:dyDescent="0.25">
      <c r="A104" s="12" t="s">
        <v>34</v>
      </c>
      <c r="B104" s="2" t="s">
        <v>256</v>
      </c>
      <c r="C104" s="3" t="str">
        <f>HYPERLINK("https://transparencia-area-fim.mpce.mp.br/#/consulta/processo/pastadigital/092020000096883","09.2020.00009688-3")</f>
        <v>09.2020.00009688-3</v>
      </c>
      <c r="D104" s="4">
        <v>45341</v>
      </c>
      <c r="E104" s="16" t="str">
        <f>HYPERLINK("https://www8.mpce.mp.br/Empenhos/150001/Objeto/28-2020.pdf","SERVIÇOS DE SUPORTE E FORNECIMENTO DOS SERVIÇOS COMPUTACIONAIS DA PLATAFORMA GOOGLE MAPS - CONTRATO 028/2020 - POR ESTIMATIVA, COMPETÊNCIA JAN, FEV E MAR/2024.")</f>
        <v>SERVIÇOS DE SUPORTE E FORNECIMENTO DOS SERVIÇOS COMPUTACIONAIS DA PLATAFORMA GOOGLE MAPS - CONTRATO 028/2020 - POR ESTIMATIVA, COMPETÊNCIA JAN, FEV E MAR/2024.</v>
      </c>
      <c r="F104" s="2" t="s">
        <v>243</v>
      </c>
      <c r="G104" s="5" t="str">
        <f>HYPERLINK("http://www8.mpce.mp.br/Empenhos/150501/NE/2024NE000137.pdf","2024NE000137")</f>
        <v>2024NE000137</v>
      </c>
      <c r="H104" s="6">
        <v>900</v>
      </c>
      <c r="I104" s="7" t="s">
        <v>257</v>
      </c>
      <c r="J104" s="10" t="s">
        <v>830</v>
      </c>
      <c r="K104" t="str">
        <f>HYPERLINK("http://www8.mpce.mp.br/Empenhos/150001/NE/2024NE000005.pdf","2024NE000005")</f>
        <v>2024NE000005</v>
      </c>
      <c r="L104">
        <v>450</v>
      </c>
      <c r="M104" t="s">
        <v>32</v>
      </c>
      <c r="N104">
        <v>7434954000151</v>
      </c>
    </row>
    <row r="105" spans="1:14" ht="38.25" x14ac:dyDescent="0.25">
      <c r="A105" s="12" t="s">
        <v>34</v>
      </c>
      <c r="B105" s="2" t="s">
        <v>258</v>
      </c>
      <c r="C105" s="3" t="str">
        <f>HYPERLINK("http://www8.mpce.mp.br/Dispensa/3072520194.pdf","30725/2019-4")</f>
        <v>30725/2019-4</v>
      </c>
      <c r="D105" s="4">
        <v>45342</v>
      </c>
      <c r="E105" s="16" t="str">
        <f>HYPERLINK("https://www8.mpce.mp.br/Empenhos/150001/Objeto/06-2020.pdf","EMPENHO DE LINK DE DADOS, SERVIÇOS DE NUVEM E HORAS IMPRODUTIVAS, REF. AOS MESES JAN, FEV E MARÇO DE 2024, CONF. CONTRATO 006/2020.")</f>
        <v>EMPENHO DE LINK DE DADOS, SERVIÇOS DE NUVEM E HORAS IMPRODUTIVAS, REF. AOS MESES JAN, FEV E MARÇO DE 2024, CONF. CONTRATO 006/2020.</v>
      </c>
      <c r="F105" s="2" t="s">
        <v>243</v>
      </c>
      <c r="G105" s="5" t="str">
        <f>HYPERLINK("http://www8.mpce.mp.br/Empenhos/150501/NE/2024NE000138.pdf","2024NE000138")</f>
        <v>2024NE000138</v>
      </c>
      <c r="H105" s="6">
        <v>67691.039999999994</v>
      </c>
      <c r="I105" s="7" t="s">
        <v>244</v>
      </c>
      <c r="J105" s="10" t="s">
        <v>245</v>
      </c>
      <c r="K105" t="str">
        <f>HYPERLINK("http://www8.mpce.mp.br/Empenhos/150501/NE/2024NE000005.pdf","2024NE000005")</f>
        <v>2024NE000005</v>
      </c>
      <c r="L105">
        <v>200</v>
      </c>
      <c r="M105" t="s">
        <v>38</v>
      </c>
      <c r="N105">
        <v>33065699000127</v>
      </c>
    </row>
    <row r="106" spans="1:14" ht="38.25" x14ac:dyDescent="0.25">
      <c r="A106" s="12" t="s">
        <v>34</v>
      </c>
      <c r="B106" s="2" t="s">
        <v>259</v>
      </c>
      <c r="C106" s="3" t="str">
        <f>HYPERLINK("https://transparencia-area-fim.mpce.mp.br/#/consulta/processo/pastadigital/092021000047808","09.2021.00004780-8")</f>
        <v>09.2021.00004780-8</v>
      </c>
      <c r="D106" s="4">
        <v>45341</v>
      </c>
      <c r="E106" s="16" t="str">
        <f>HYPERLINK("https://www8.mpce.mp.br/Empenhos/150001/Objeto/25-2021.pdf","LOCAÇÃO DE IMÓVEIS ONDE FUNCIONAM AS PROMOTORIAS DE JUSTIÇA DE ALTO SANTO, CONTRATO 025/2021/PGJ, POR ESTIMATIVA, REFERENTE AO MES DE FEV E MAR/2024.")</f>
        <v>LOCAÇÃO DE IMÓVEIS ONDE FUNCIONAM AS PROMOTORIAS DE JUSTIÇA DE ALTO SANTO, CONTRATO 025/2021/PGJ, POR ESTIMATIVA, REFERENTE AO MES DE FEV E MAR/2024.</v>
      </c>
      <c r="F106" s="2" t="s">
        <v>161</v>
      </c>
      <c r="G106" s="5" t="str">
        <f>HYPERLINK("http://www8.mpce.mp.br/Empenhos/150501/NE/2024NE000139.pdf","2024NE000139")</f>
        <v>2024NE000139</v>
      </c>
      <c r="H106" s="6">
        <v>3302.3</v>
      </c>
      <c r="I106" s="7" t="s">
        <v>207</v>
      </c>
      <c r="J106" s="10" t="s">
        <v>208</v>
      </c>
      <c r="K106" t="str">
        <f>HYPERLINK("http://www8.mpce.mp.br/Empenhos/150001/NE/2024NE000006.pdf","2024NE000006")</f>
        <v>2024NE000006</v>
      </c>
      <c r="L106">
        <v>150</v>
      </c>
      <c r="M106" t="s">
        <v>63</v>
      </c>
      <c r="N106">
        <v>29038683000158</v>
      </c>
    </row>
    <row r="107" spans="1:14" ht="51" x14ac:dyDescent="0.25">
      <c r="A107" s="12" t="s">
        <v>34</v>
      </c>
      <c r="B107" s="2" t="s">
        <v>260</v>
      </c>
      <c r="C107" s="3" t="str">
        <f>HYPERLINK("http://www8.mpce.mp.br/Dispensa/862520178.pdf","8625/20178")</f>
        <v>8625/20178</v>
      </c>
      <c r="D107" s="4">
        <v>45343</v>
      </c>
      <c r="E107" s="16" t="str">
        <f>HYPERLINK("https://www8.mpce.mp.br/Empenhos/150001/Objeto/31-2017.pdf","EMPENHO DE LOCAÇÃO DE IMÓVEIS ONDE FUNCIONAM AS PROMOTORIAS DE JUSTIÇA DE CANINDÉ, CONTRATO 031/2017/PGJ REFERENTE AOS MESES DE FEV. E MARÇO DE 2024.")</f>
        <v>EMPENHO DE LOCAÇÃO DE IMÓVEIS ONDE FUNCIONAM AS PROMOTORIAS DE JUSTIÇA DE CANINDÉ, CONTRATO 031/2017/PGJ REFERENTE AOS MESES DE FEV. E MARÇO DE 2024.</v>
      </c>
      <c r="F107" s="2" t="s">
        <v>161</v>
      </c>
      <c r="G107" s="5" t="str">
        <f>HYPERLINK("http://www8.mpce.mp.br/Empenhos/150501/NE/2024NE000140.pdf","2024NE000140")</f>
        <v>2024NE000140</v>
      </c>
      <c r="H107" s="6">
        <v>2160.44</v>
      </c>
      <c r="I107" s="7" t="s">
        <v>199</v>
      </c>
      <c r="J107" s="10" t="s">
        <v>200</v>
      </c>
      <c r="K107" t="str">
        <f>HYPERLINK("http://www8.mpce.mp.br/Empenhos/150001/NE/2024NE000007.pdf","2024NE000007")</f>
        <v>2024NE000007</v>
      </c>
      <c r="L107">
        <v>300</v>
      </c>
      <c r="M107" t="s">
        <v>66</v>
      </c>
      <c r="N107">
        <v>5722202000160</v>
      </c>
    </row>
    <row r="108" spans="1:14" ht="51" x14ac:dyDescent="0.25">
      <c r="A108" s="12" t="s">
        <v>9</v>
      </c>
      <c r="B108" s="2" t="s">
        <v>261</v>
      </c>
      <c r="C108" s="3" t="str">
        <f>HYPERLINK("https://transparencia-area-fim.mpce.mp.br/#/consulta/processo/pastadigital/092021000189150","09.2021.00018915-0")</f>
        <v>09.2021.00018915-0</v>
      </c>
      <c r="D108" s="4">
        <v>45342</v>
      </c>
      <c r="E108" s="16" t="str">
        <f>HYPERLINK("https://www8.mpce.mp.br/Empenhos/150001/Objeto/09-2022.pdf","SERVIÇO DE EXTENSÃO DE GARANTIA DO DATA CENTER, CONFORME CONTRATO Nº 09/2022 E PROJETO Nº 52/2023/FRMMP, REFERENTE JAN. FEV E MAR/2024 - POR ESTIMATIVA.")</f>
        <v>SERVIÇO DE EXTENSÃO DE GARANTIA DO DATA CENTER, CONFORME CONTRATO Nº 09/2022 E PROJETO Nº 52/2023/FRMMP, REFERENTE JAN. FEV E MAR/2024 - POR ESTIMATIVA.</v>
      </c>
      <c r="F108" s="2" t="s">
        <v>262</v>
      </c>
      <c r="G108" s="5" t="str">
        <f>HYPERLINK("http://www8.mpce.mp.br/Empenhos/150501/NE/2024NE000142.pdf","2024NE000142")</f>
        <v>2024NE000142</v>
      </c>
      <c r="H108" s="6">
        <v>63000</v>
      </c>
      <c r="I108" s="7" t="s">
        <v>263</v>
      </c>
      <c r="J108" s="10" t="s">
        <v>831</v>
      </c>
      <c r="K108" t="str">
        <f>HYPERLINK("http://www8.mpce.mp.br/Empenhos/150501/NE/2024NE000008.pdf","2024NE000008")</f>
        <v>2024NE000008</v>
      </c>
      <c r="L108" s="13">
        <v>220467.36</v>
      </c>
      <c r="M108" t="s">
        <v>72</v>
      </c>
      <c r="N108">
        <v>82845322000104</v>
      </c>
    </row>
    <row r="109" spans="1:14" ht="38.25" x14ac:dyDescent="0.25">
      <c r="A109" s="12" t="s">
        <v>34</v>
      </c>
      <c r="B109" s="2" t="s">
        <v>264</v>
      </c>
      <c r="C109" s="3" t="str">
        <f>HYPERLINK("http://www8.mpce.mp.br/Dispensa/48729162.pdf","48729/16-2")</f>
        <v>48729/16-2</v>
      </c>
      <c r="D109" s="4">
        <v>45342</v>
      </c>
      <c r="E109" s="16" t="str">
        <f>HYPERLINK("https://www8.mpce.mp.br/Empenhos/150001/Objeto/06-2017.pdf","LOCAÇÃO DE IMÓVEL CONFORME CONTRATO 06/2017 DAS PROMOTORIAS DE JUSTIÇA CÍVEIS RELATIVO AO MES DE FEVEREIRO E MARÇO DE 2024, POR ESTIMATIVA.")</f>
        <v>LOCAÇÃO DE IMÓVEL CONFORME CONTRATO 06/2017 DAS PROMOTORIAS DE JUSTIÇA CÍVEIS RELATIVO AO MES DE FEVEREIRO E MARÇO DE 2024, POR ESTIMATIVA.</v>
      </c>
      <c r="F109" s="2" t="s">
        <v>116</v>
      </c>
      <c r="G109" s="5" t="str">
        <f>HYPERLINK("http://www8.mpce.mp.br/Empenhos/150501/NE/2024NE000144.pdf","2024NE000144")</f>
        <v>2024NE000144</v>
      </c>
      <c r="H109" s="6">
        <v>229493.82</v>
      </c>
      <c r="I109" s="7" t="s">
        <v>126</v>
      </c>
      <c r="J109" s="10" t="s">
        <v>127</v>
      </c>
      <c r="K109" t="str">
        <f>HYPERLINK("http://www8.mpce.mp.br/Empenhos/150501/NE/2024NE000008.pdf","2024NE000008")</f>
        <v>2024NE000008</v>
      </c>
      <c r="L109" s="13">
        <v>220467.36</v>
      </c>
      <c r="M109" t="s">
        <v>72</v>
      </c>
      <c r="N109">
        <v>82845322000104</v>
      </c>
    </row>
    <row r="110" spans="1:14" ht="105" x14ac:dyDescent="0.25">
      <c r="A110" s="12" t="s">
        <v>34</v>
      </c>
      <c r="B110" s="2" t="s">
        <v>265</v>
      </c>
      <c r="C110" s="3" t="str">
        <f>HYPERLINK("http://www8.mpce.mp.br/Dispensa/3657120162.pdf","3657120162")</f>
        <v>3657120162</v>
      </c>
      <c r="D110" s="4">
        <v>45342</v>
      </c>
      <c r="E110" s="17" t="str">
        <f>HYPERLINK("https://www8.mpce.mp.br/Empenhos/150001/Objeto/12-2017.pdf","EMPENHO DE ALUGUÉIS DOS MESES DE FEVEREIRO E  MARÇO DE 2024, REF AO IMÓVEL ONDE FUNCIONAM AS PROMOTORIAS DEJUSTIÇA DE JUAZEIRO DO NORTE,"&amp;" LOCALIZADO À RUA CATULO DA PAIXÃO CEARENSE, N° 135, BAIRRO TRIÂNGULO, JUAZEIRO DO NORTE-CE, CEP: 63.041-162 (EDIFÍCIO CENTRAL PARK COMERCIAL, 13º ANDAR, SALAS 1316 A 1317), CONF CONTRATO Nº 012/2017/PGJ.")</f>
        <v>EMPENHO DE ALUGUÉIS DOS MESES DE FEVEREIRO E  MARÇO DE 2024, REF AO IMÓVEL ONDE FUNCIONAM AS PROMOTORIAS DEJUSTIÇA DE JUAZEIRO DO NORTE, LOCALIZADO À RUA CATULO DA PAIXÃO CEARENSE, N° 135, BAIRRO TRIÂNGULO, JUAZEIRO DO NORTE-CE, CEP: 63.041-162 (EDIFÍCIO CENTRAL PARK COMERCIAL, 13º ANDAR, SALAS 1316 A 1317), CONF CONTRATO Nº 012/2017/PGJ.</v>
      </c>
      <c r="F110" s="2" t="s">
        <v>161</v>
      </c>
      <c r="G110" s="5" t="str">
        <f>HYPERLINK("http://www8.mpce.mp.br/Empenhos/150501/NE/2024NE000145.pdf","2024NE000145")</f>
        <v>2024NE000145</v>
      </c>
      <c r="H110" s="6">
        <v>4044.06</v>
      </c>
      <c r="I110" s="7" t="s">
        <v>213</v>
      </c>
      <c r="J110" s="10" t="s">
        <v>214</v>
      </c>
      <c r="K110" t="str">
        <f>HYPERLINK("http://www8.mpce.mp.br/Empenhos/150501/NE/2024NE000008.pdf","2024NE000008")</f>
        <v>2024NE000008</v>
      </c>
      <c r="L110" s="13">
        <v>220467.36</v>
      </c>
      <c r="M110" t="s">
        <v>72</v>
      </c>
      <c r="N110">
        <v>82845322000104</v>
      </c>
    </row>
    <row r="111" spans="1:14" ht="51" x14ac:dyDescent="0.25">
      <c r="A111" s="12" t="s">
        <v>34</v>
      </c>
      <c r="B111" s="2" t="s">
        <v>266</v>
      </c>
      <c r="C111" s="3" t="str">
        <f>HYPERLINK("https://transparencia-area-fim.mpce.mp.br/#/consulta/processo/pastadigital/092022000197876","09.2022.00019787-6")</f>
        <v>09.2022.00019787-6</v>
      </c>
      <c r="D111" s="4">
        <v>45342</v>
      </c>
      <c r="E111" s="16" t="str">
        <f>HYPERLINK("https://www8.mpce.mp.br/Empenhos/150001/Objeto/02-2023.pdf","LOCAÇÃO DE IMÓVEL CONFORME CONTRATO 02/2023 DOS NÚCLEOS DE MEDIAÇÃO COMUNITÁRIA (AV OSCAR ARARIPE 1030 - BOM JARDIM) REFERENTE AO MES DE FEVEREIRO E MARÇO DE 2024, POR ESTIMATIVA.")</f>
        <v>LOCAÇÃO DE IMÓVEL CONFORME CONTRATO 02/2023 DOS NÚCLEOS DE MEDIAÇÃO COMUNITÁRIA (AV OSCAR ARARIPE 1030 - BOM JARDIM) REFERENTE AO MES DE FEVEREIRO E MARÇO DE 2024, POR ESTIMATIVA.</v>
      </c>
      <c r="F111" s="2" t="s">
        <v>116</v>
      </c>
      <c r="G111" s="5" t="str">
        <f>HYPERLINK("http://www8.mpce.mp.br/Empenhos/150501/NE/2024NE000146.pdf","2024NE000146")</f>
        <v>2024NE000146</v>
      </c>
      <c r="H111" s="6">
        <v>11200</v>
      </c>
      <c r="I111" s="7" t="s">
        <v>123</v>
      </c>
      <c r="J111" s="10" t="s">
        <v>124</v>
      </c>
      <c r="K111" t="str">
        <f>HYPERLINK("http://www8.mpce.mp.br/Empenhos/150001/NE/2024NE000008.pdf","2024NE000008")</f>
        <v>2024NE000008</v>
      </c>
      <c r="L111" s="13">
        <v>1800</v>
      </c>
      <c r="M111" t="s">
        <v>69</v>
      </c>
      <c r="N111">
        <v>7544786000157</v>
      </c>
    </row>
    <row r="112" spans="1:14" ht="63.75" x14ac:dyDescent="0.25">
      <c r="A112" s="12" t="s">
        <v>34</v>
      </c>
      <c r="B112" s="2" t="s">
        <v>267</v>
      </c>
      <c r="C112" s="3" t="str">
        <f>HYPERLINK("http://www8.mpce.mp.br/Dispensa/3103320192.pdf","31033/2019-2")</f>
        <v>31033/2019-2</v>
      </c>
      <c r="D112" s="4">
        <v>45342</v>
      </c>
      <c r="E112" s="16" t="str">
        <f>HYPERLINK("https://www8.mpce.mp.br/Empenhos/150001/Objeto/04-2020.pdf","EMPENHO DOS ALUGUÉIS DOS MESES DE FEVEREIRO E  MARÇO DE 2024, REF. AOS IMÓVEL ONDE FUNCIONAM AS PROMOTORIAS DE JUSTIÇA DE BATURITÉ, LOCALIZADO À RUA VEREADOR FRANCISCO FRANCELINO, Nº 1425, BATURITÉ-CE, CONF. CONTRATO Nº 004/2020/PGJ.")</f>
        <v>EMPENHO DOS ALUGUÉIS DOS MESES DE FEVEREIRO E  MARÇO DE 2024, REF. AOS IMÓVEL ONDE FUNCIONAM AS PROMOTORIAS DE JUSTIÇA DE BATURITÉ, LOCALIZADO À RUA VEREADOR FRANCISCO FRANCELINO, Nº 1425, BATURITÉ-CE, CONF. CONTRATO Nº 004/2020/PGJ.</v>
      </c>
      <c r="F112" s="2" t="s">
        <v>161</v>
      </c>
      <c r="G112" s="5" t="str">
        <f>HYPERLINK("http://www8.mpce.mp.br/Empenhos/150501/NE/2024NE000147.pdf","2024NE000147")</f>
        <v>2024NE000147</v>
      </c>
      <c r="H112" s="6">
        <v>4000</v>
      </c>
      <c r="I112" s="7" t="s">
        <v>221</v>
      </c>
      <c r="J112" s="10" t="s">
        <v>222</v>
      </c>
      <c r="K112" t="str">
        <f>HYPERLINK("http://www8.mpce.mp.br/Empenhos/150501/NE/2024NE000008.pdf","2024NE000008")</f>
        <v>2024NE000008</v>
      </c>
      <c r="L112" s="13">
        <v>220467.36</v>
      </c>
      <c r="M112" t="s">
        <v>72</v>
      </c>
      <c r="N112">
        <v>82845322000104</v>
      </c>
    </row>
    <row r="113" spans="1:14" ht="38.25" x14ac:dyDescent="0.25">
      <c r="A113" s="12" t="s">
        <v>34</v>
      </c>
      <c r="B113" s="2" t="s">
        <v>266</v>
      </c>
      <c r="C113" s="3" t="str">
        <f>HYPERLINK("https://transparencia-area-fim.mpce.mp.br/#/consulta/processo/pastadigital/092022000343829","09.2022.00034382-9")</f>
        <v>09.2022.00034382-9</v>
      </c>
      <c r="D113" s="4">
        <v>45342</v>
      </c>
      <c r="E113" s="16" t="str">
        <f>HYPERLINK("https://www8.mpce.mp.br/Empenhos/150001/Objeto/10-2023.pdf","LOCAÇÃO DE IMÓVEL CONFORME CONTRATO 10/2023 DAS PROMOTORIAS DE ITAPAJÉ REFERENTE AO MES DE FEVEREIRO E MARÇO DE 2024, POR ESTIMATIVA.")</f>
        <v>LOCAÇÃO DE IMÓVEL CONFORME CONTRATO 10/2023 DAS PROMOTORIAS DE ITAPAJÉ REFERENTE AO MES DE FEVEREIRO E MARÇO DE 2024, POR ESTIMATIVA.</v>
      </c>
      <c r="F113" s="2" t="s">
        <v>116</v>
      </c>
      <c r="G113" s="5" t="str">
        <f>HYPERLINK("http://www8.mpce.mp.br/Empenhos/150501/NE/2024NE000149.pdf","2024NE000149")</f>
        <v>2024NE000149</v>
      </c>
      <c r="H113" s="6">
        <v>27224</v>
      </c>
      <c r="I113" s="7" t="s">
        <v>129</v>
      </c>
      <c r="J113" s="10" t="s">
        <v>130</v>
      </c>
      <c r="K113" t="str">
        <f>HYPERLINK("http://www8.mpce.mp.br/Empenhos/150501/NE/2024NE000008.pdf","2024NE000008")</f>
        <v>2024NE000008</v>
      </c>
      <c r="L113" s="13">
        <v>220467.36</v>
      </c>
      <c r="M113" t="s">
        <v>72</v>
      </c>
      <c r="N113">
        <v>82845322000104</v>
      </c>
    </row>
    <row r="114" spans="1:14" ht="51" x14ac:dyDescent="0.25">
      <c r="A114" s="12" t="s">
        <v>34</v>
      </c>
      <c r="B114" s="2" t="s">
        <v>268</v>
      </c>
      <c r="C114" s="3" t="str">
        <f>HYPERLINK("https://transparencia-area-fim.mpce.mp.br/#/consulta/processo/pastadigital/092021000244449","09.2021.00024444-9")</f>
        <v>09.2021.00024444-9</v>
      </c>
      <c r="D114" s="4">
        <v>45342</v>
      </c>
      <c r="E114" s="16" t="str">
        <f>HYPERLINK("https://www8.mpce.mp.br/Empenhos/150001/Objeto/12-2022.pdf","EMPENHO DE LOCAÇÃO DE IMÓVEIS ONDE FUNCIONAM AS PROMOTORIAS DE JUSTIÇA DE RUSSAS, CONTRATO 012/2022/PGJ, REFERENTE AOS MESES DE FEV E MARÇO DE 2024.")</f>
        <v>EMPENHO DE LOCAÇÃO DE IMÓVEIS ONDE FUNCIONAM AS PROMOTORIAS DE JUSTIÇA DE RUSSAS, CONTRATO 012/2022/PGJ, REFERENTE AOS MESES DE FEV E MARÇO DE 2024.</v>
      </c>
      <c r="F114" s="2" t="s">
        <v>116</v>
      </c>
      <c r="G114" s="5" t="str">
        <f>HYPERLINK("http://www8.mpce.mp.br/Empenhos/150501/NE/2024NE000150.pdf","2024NE000150")</f>
        <v>2024NE000150</v>
      </c>
      <c r="H114" s="6">
        <v>41800</v>
      </c>
      <c r="I114" s="7" t="s">
        <v>129</v>
      </c>
      <c r="J114" s="10" t="s">
        <v>130</v>
      </c>
      <c r="K114" t="str">
        <f>HYPERLINK("http://www8.mpce.mp.br/Empenhos/150001/NE/2024NE000009.pdf","2024NE000009")</f>
        <v>2024NE000009</v>
      </c>
      <c r="L114">
        <v>300</v>
      </c>
      <c r="M114" t="s">
        <v>75</v>
      </c>
      <c r="N114">
        <v>7508138000145</v>
      </c>
    </row>
    <row r="115" spans="1:14" ht="51" x14ac:dyDescent="0.25">
      <c r="A115" s="12" t="s">
        <v>34</v>
      </c>
      <c r="B115" s="2" t="s">
        <v>269</v>
      </c>
      <c r="C115" s="3" t="str">
        <f>HYPERLINK("https://transparencia-area-fim.mpce.mp.br/#/consulta/processo/pastadigital/092021000064195","09.2021.00006419-5")</f>
        <v>09.2021.00006419-5</v>
      </c>
      <c r="D115" s="4">
        <v>45342</v>
      </c>
      <c r="E115" s="16" t="str">
        <f>HYPERLINK("https://www8.mpce.mp.br/Empenhos/150001/Objeto/41-2021.pdf","EMPENHO DE LOCAÇÃO DE IMÓVEIS ONDE FUNCIONAM AS PROMOTORIAS DE JUSTIÇA DE QUIXADÁ, CONTRATO 041/2021/PGJ REFERENTE AO MES DE FEV E MARÇO DE 2024.")</f>
        <v>EMPENHO DE LOCAÇÃO DE IMÓVEIS ONDE FUNCIONAM AS PROMOTORIAS DE JUSTIÇA DE QUIXADÁ, CONTRATO 041/2021/PGJ REFERENTE AO MES DE FEV E MARÇO DE 2024.</v>
      </c>
      <c r="F115" s="2" t="s">
        <v>116</v>
      </c>
      <c r="G115" s="5" t="str">
        <f>HYPERLINK("http://www8.mpce.mp.br/Empenhos/150501/NE/2024NE000151.pdf","2024NE000151")</f>
        <v>2024NE000151</v>
      </c>
      <c r="H115" s="6">
        <v>37800</v>
      </c>
      <c r="I115" s="7" t="s">
        <v>129</v>
      </c>
      <c r="J115" s="10" t="s">
        <v>130</v>
      </c>
      <c r="K115" t="str">
        <f>HYPERLINK("http://www8.mpce.mp.br/Empenhos/150501/NE/2024NE000009.pdf","2024NE000009")</f>
        <v>2024NE000009</v>
      </c>
      <c r="L115" s="13">
        <v>52217</v>
      </c>
      <c r="M115" t="s">
        <v>72</v>
      </c>
      <c r="N115">
        <v>82845322000104</v>
      </c>
    </row>
    <row r="116" spans="1:14" ht="51" x14ac:dyDescent="0.25">
      <c r="A116" s="12" t="s">
        <v>34</v>
      </c>
      <c r="B116" s="2" t="s">
        <v>270</v>
      </c>
      <c r="C116" s="3" t="str">
        <f>HYPERLINK("http://www8.mpce.mp.br/Dispensa/2060220148.pdf","20602/2014-8")</f>
        <v>20602/2014-8</v>
      </c>
      <c r="D116" s="4">
        <v>45342</v>
      </c>
      <c r="E116" s="16" t="str">
        <f>HYPERLINK("https://www8.mpce.mp.br/Empenhos/150001/Objeto/19-2014.pdf","LOCAÇÃO DE IMÓVEL CONFORME CONTRATO 19/2014 REFERENTE ÀS PROMOTORIAS DE JUSTIÇA DA INFÂNCIA E JUVENTUDE RELATIVO AO MES DE FEVEREIRO E MARÇO DE 2024, POR ESTIMATIVA.")</f>
        <v>LOCAÇÃO DE IMÓVEL CONFORME CONTRATO 19/2014 REFERENTE ÀS PROMOTORIAS DE JUSTIÇA DA INFÂNCIA E JUVENTUDE RELATIVO AO MES DE FEVEREIRO E MARÇO DE 2024, POR ESTIMATIVA.</v>
      </c>
      <c r="F116" s="2" t="s">
        <v>116</v>
      </c>
      <c r="G116" s="5" t="str">
        <f>HYPERLINK("http://www8.mpce.mp.br/Empenhos/150501/NE/2024NE000152.pdf","2024NE000152")</f>
        <v>2024NE000152</v>
      </c>
      <c r="H116" s="6">
        <v>14538.26</v>
      </c>
      <c r="I116" s="7" t="s">
        <v>164</v>
      </c>
      <c r="J116" s="10" t="s">
        <v>165</v>
      </c>
      <c r="K116" t="str">
        <f>HYPERLINK("http://www8.mpce.mp.br/Empenhos/150501/NE/2024NE000009.pdf","2024NE000009")</f>
        <v>2024NE000009</v>
      </c>
      <c r="L116" s="13">
        <v>52217</v>
      </c>
      <c r="M116" t="s">
        <v>72</v>
      </c>
      <c r="N116">
        <v>82845322000104</v>
      </c>
    </row>
    <row r="117" spans="1:14" ht="51" x14ac:dyDescent="0.25">
      <c r="A117" s="12" t="s">
        <v>34</v>
      </c>
      <c r="B117" s="2" t="s">
        <v>271</v>
      </c>
      <c r="C117" s="3" t="str">
        <f>HYPERLINK("http://www8.mpce.mp.br/Dispensa/575920103.pdf","5759/2010-3")</f>
        <v>5759/2010-3</v>
      </c>
      <c r="D117" s="4">
        <v>45342</v>
      </c>
      <c r="E117" s="16" t="str">
        <f>HYPERLINK("https://www8.mpce.mp.br/Empenhos/150001/Objeto/22-2010.pdf","EMPENHO DE LOCAÇÃO DE IMÓVEIS ONDE FUNCIONAM AS PROMOTORIAS DE JUSTIÇA DE GUAIÚBA, CONTRATO 022/2010/PGJ REFERENTE AOS MESES DE FEV E MARÇO DE 2024.")</f>
        <v>EMPENHO DE LOCAÇÃO DE IMÓVEIS ONDE FUNCIONAM AS PROMOTORIAS DE JUSTIÇA DE GUAIÚBA, CONTRATO 022/2010/PGJ REFERENTE AOS MESES DE FEV E MARÇO DE 2024.</v>
      </c>
      <c r="F117" s="2" t="s">
        <v>161</v>
      </c>
      <c r="G117" s="5" t="str">
        <f>HYPERLINK("http://www8.mpce.mp.br/Empenhos/150501/NE/2024NE000153.pdf","2024NE000153")</f>
        <v>2024NE000153</v>
      </c>
      <c r="H117" s="6">
        <v>4683.9399999999996</v>
      </c>
      <c r="I117" s="7" t="s">
        <v>211</v>
      </c>
      <c r="J117" s="10" t="s">
        <v>212</v>
      </c>
      <c r="K117" t="str">
        <f>HYPERLINK("http://www8.mpce.mp.br/Empenhos/150501/NE/2024NE000009.pdf","2024NE000009")</f>
        <v>2024NE000009</v>
      </c>
      <c r="L117" s="13">
        <v>52217</v>
      </c>
      <c r="M117" t="s">
        <v>72</v>
      </c>
      <c r="N117">
        <v>82845322000104</v>
      </c>
    </row>
    <row r="118" spans="1:14" ht="51" x14ac:dyDescent="0.25">
      <c r="A118" s="12" t="s">
        <v>34</v>
      </c>
      <c r="B118" s="2" t="s">
        <v>270</v>
      </c>
      <c r="C118" s="3" t="str">
        <f>HYPERLINK("http://www8.mpce.mp.br/Dispensa/2826420164.pdf","28264/2016-4")</f>
        <v>28264/2016-4</v>
      </c>
      <c r="D118" s="4">
        <v>45349</v>
      </c>
      <c r="E118" s="16" t="str">
        <f>HYPERLINK("https://www8.mpce.mp.br/Empenhos/150001/Objeto/26-2016.pdf","LOCAÇÃO DE IMÓVEL CONFORME CONTRATO 26/2016 DOS CENTROS DE APOIO OPERACIONAL E ÓRGÃOS DE INVESTIGAÇÃO REFERENTE AO MES DE FEVEREIRO E MARÇO DE 2024, POR ESTIMATIVA.")</f>
        <v>LOCAÇÃO DE IMÓVEL CONFORME CONTRATO 26/2016 DOS CENTROS DE APOIO OPERACIONAL E ÓRGÃOS DE INVESTIGAÇÃO REFERENTE AO MES DE FEVEREIRO E MARÇO DE 2024, POR ESTIMATIVA.</v>
      </c>
      <c r="F118" s="2" t="s">
        <v>116</v>
      </c>
      <c r="G118" s="5" t="str">
        <f>HYPERLINK("http://www8.mpce.mp.br/Empenhos/150501/NE/2024NE000154.pdf","2024NE000154")</f>
        <v>2024NE000154</v>
      </c>
      <c r="H118" s="6">
        <v>123917.06</v>
      </c>
      <c r="I118" s="7" t="s">
        <v>142</v>
      </c>
      <c r="J118" s="10" t="s">
        <v>143</v>
      </c>
      <c r="K118" t="str">
        <f>HYPERLINK("http://www8.mpce.mp.br/Empenhos/150501/NE/2024NE000009.pdf","2024NE000009")</f>
        <v>2024NE000009</v>
      </c>
      <c r="L118" s="13">
        <v>52217</v>
      </c>
      <c r="M118" t="s">
        <v>72</v>
      </c>
      <c r="N118">
        <v>82845322000104</v>
      </c>
    </row>
    <row r="119" spans="1:14" ht="38.25" x14ac:dyDescent="0.25">
      <c r="A119" s="12" t="s">
        <v>34</v>
      </c>
      <c r="B119" s="2" t="s">
        <v>259</v>
      </c>
      <c r="C119" s="3" t="str">
        <f>HYPERLINK("https://transparencia-area-fim.mpce.mp.br/#/consulta/processo/pastadigital/092021000063220","09.2021.00006322-0")</f>
        <v>09.2021.00006322-0</v>
      </c>
      <c r="D119" s="4">
        <v>45342</v>
      </c>
      <c r="E119" s="16" t="str">
        <f>HYPERLINK("https://www8.mpce.mp.br/Empenhos/150001/Objeto/33-2021.pdf","LOCAÇÃO DE IMÓVEL CONFORME CONTRATO 33/2021 DAS PROMOTORIAS DE JUSTIÇA DE SOBRAL REFERENTE AO MES DE FEVEREIRO E MARÇO DE 2024, POR ESTIMATIVA.")</f>
        <v>LOCAÇÃO DE IMÓVEL CONFORME CONTRATO 33/2021 DAS PROMOTORIAS DE JUSTIÇA DE SOBRAL REFERENTE AO MES DE FEVEREIRO E MARÇO DE 2024, POR ESTIMATIVA.</v>
      </c>
      <c r="F119" s="2" t="s">
        <v>116</v>
      </c>
      <c r="G119" s="5" t="str">
        <f>HYPERLINK("http://www8.mpce.mp.br/Empenhos/150501/NE/2024NE000155.pdf","2024NE000155")</f>
        <v>2024NE000155</v>
      </c>
      <c r="H119" s="6">
        <v>66800.22</v>
      </c>
      <c r="I119" s="7" t="s">
        <v>134</v>
      </c>
      <c r="J119" s="10" t="s">
        <v>135</v>
      </c>
      <c r="K119" t="str">
        <f>HYPERLINK("http://www8.mpce.mp.br/Empenhos/150501/NE/2024NE000009.pdf","2024NE000009")</f>
        <v>2024NE000009</v>
      </c>
      <c r="L119" s="13">
        <v>52217</v>
      </c>
      <c r="M119" t="s">
        <v>72</v>
      </c>
      <c r="N119">
        <v>82845322000104</v>
      </c>
    </row>
    <row r="120" spans="1:14" ht="51" x14ac:dyDescent="0.25">
      <c r="A120" s="12" t="s">
        <v>34</v>
      </c>
      <c r="B120" s="2" t="s">
        <v>272</v>
      </c>
      <c r="C120" s="3" t="str">
        <f>HYPERLINK("https://transparencia-area-fim.mpce.mp.br/#/consulta/processo/pastadigital/092021000155016","09.2021.00015501-6")</f>
        <v>09.2021.00015501-6</v>
      </c>
      <c r="D120" s="4">
        <v>45342</v>
      </c>
      <c r="E120" s="16" t="str">
        <f>HYPERLINK("https://www8.mpce.mp.br/Empenhos/150001/Objeto/26-2021.pdf","EMPENHO DE LOCAÇÃO DE IMÓVEIS ONDE FUNCIONAM AS PROMOTORIAS DE JUSTIÇA DE BREJO SANTO, CONTRATO 026/2021/PGJ REFERENTE AOS MESES DE FEV E MARÇO DE 2024.")</f>
        <v>EMPENHO DE LOCAÇÃO DE IMÓVEIS ONDE FUNCIONAM AS PROMOTORIAS DE JUSTIÇA DE BREJO SANTO, CONTRATO 026/2021/PGJ REFERENTE AOS MESES DE FEV E MARÇO DE 2024.</v>
      </c>
      <c r="F120" s="2" t="s">
        <v>161</v>
      </c>
      <c r="G120" s="5" t="str">
        <f>HYPERLINK("http://www8.mpce.mp.br/Empenhos/150501/NE/2024NE000156.pdf","2024NE000156")</f>
        <v>2024NE000156</v>
      </c>
      <c r="H120" s="6">
        <v>5203.1000000000004</v>
      </c>
      <c r="I120" s="7" t="s">
        <v>203</v>
      </c>
      <c r="J120" s="10" t="s">
        <v>204</v>
      </c>
      <c r="K120" t="str">
        <f>HYPERLINK("http://www8.mpce.mp.br/Empenhos/150501/NE/2024NE000010.pdf","2024NE000010")</f>
        <v>2024NE000010</v>
      </c>
      <c r="L120" s="13">
        <v>563056.98</v>
      </c>
      <c r="M120" t="s">
        <v>72</v>
      </c>
      <c r="N120">
        <v>82845322000104</v>
      </c>
    </row>
    <row r="121" spans="1:14" ht="38.25" x14ac:dyDescent="0.25">
      <c r="A121" s="12" t="s">
        <v>34</v>
      </c>
      <c r="B121" s="2" t="s">
        <v>273</v>
      </c>
      <c r="C121" s="3" t="str">
        <f>HYPERLINK("https://transparencia-area-fim.mpce.mp.br/#/consulta/processo/pastadigital/092022000264193","09.2022.00026419-3")</f>
        <v>09.2022.00026419-3</v>
      </c>
      <c r="D121" s="4">
        <v>45342</v>
      </c>
      <c r="E121" s="16" t="str">
        <f>HYPERLINK("https://www8.mpce.mp.br/Empenhos/150001/Objeto/28-2022.pdf","LOCAÇÃO DE IMÓVEIS ONDE FUNCIONAM AS PROMOTORIAS DE JUSTIÇA DE AURORA, CONTRATO 028/2022/PGJ REFERENTE AOS MESES DE FEV E MARÇO DE 2024.")</f>
        <v>LOCAÇÃO DE IMÓVEIS ONDE FUNCIONAM AS PROMOTORIAS DE JUSTIÇA DE AURORA, CONTRATO 028/2022/PGJ REFERENTE AOS MESES DE FEV E MARÇO DE 2024.</v>
      </c>
      <c r="F121" s="2" t="s">
        <v>161</v>
      </c>
      <c r="G121" s="5" t="str">
        <f>HYPERLINK("http://www8.mpce.mp.br/Empenhos/150501/NE/2024NE000157.pdf","2024NE000157")</f>
        <v>2024NE000157</v>
      </c>
      <c r="H121" s="6">
        <v>4000</v>
      </c>
      <c r="I121" s="7" t="s">
        <v>201</v>
      </c>
      <c r="J121" s="10" t="s">
        <v>202</v>
      </c>
      <c r="K121" t="str">
        <f>HYPERLINK("http://www8.mpce.mp.br/Empenhos/150501/NE/2024NE000010.pdf","2024NE000010")</f>
        <v>2024NE000010</v>
      </c>
      <c r="L121" s="13">
        <v>563056.98</v>
      </c>
      <c r="M121" t="s">
        <v>72</v>
      </c>
      <c r="N121">
        <v>82845322000104</v>
      </c>
    </row>
    <row r="122" spans="1:14" ht="38.25" x14ac:dyDescent="0.25">
      <c r="A122" s="12" t="s">
        <v>9</v>
      </c>
      <c r="B122" s="2" t="s">
        <v>10</v>
      </c>
      <c r="C122" s="3" t="str">
        <f>HYPERLINK("https://transparencia-area-fim.mpce.mp.br/#/consulta/processo/pastadigital/092023000293915","09.2023.00029391-5")</f>
        <v>09.2023.00029391-5</v>
      </c>
      <c r="D122" s="4">
        <v>45342</v>
      </c>
      <c r="E122" s="16" t="str">
        <f>HYPERLINK("https://www8.mpce.mp.br/Empenhos/150001/Objeto/54-2023.pdf","LOCAÇÃO DE IMÓVEL, CONFORME CONTRATO 54/2023, DO GALPÃO DO ALMOXARIFADO REFERENTE AO MES DE FEVEREIRO E MARÇO DE 2024, POR ESTIMATIVA.")</f>
        <v>LOCAÇÃO DE IMÓVEL, CONFORME CONTRATO 54/2023, DO GALPÃO DO ALMOXARIFADO REFERENTE AO MES DE FEVEREIRO E MARÇO DE 2024, POR ESTIMATIVA.</v>
      </c>
      <c r="F122" s="2" t="s">
        <v>116</v>
      </c>
      <c r="G122" s="5" t="str">
        <f>HYPERLINK("http://www8.mpce.mp.br/Empenhos/150501/NE/2024NE000158.pdf","2024NE000158")</f>
        <v>2024NE000158</v>
      </c>
      <c r="H122" s="6">
        <v>44000</v>
      </c>
      <c r="I122" s="7" t="s">
        <v>153</v>
      </c>
      <c r="J122" s="10" t="s">
        <v>154</v>
      </c>
      <c r="K122" t="str">
        <f>HYPERLINK("http://www8.mpce.mp.br/Empenhos/150501/NE/2024NE000010.pdf","2024NE000010")</f>
        <v>2024NE000010</v>
      </c>
      <c r="L122" s="13">
        <v>563056.98</v>
      </c>
      <c r="M122" t="s">
        <v>72</v>
      </c>
      <c r="N122">
        <v>82845322000104</v>
      </c>
    </row>
    <row r="123" spans="1:14" ht="38.25" x14ac:dyDescent="0.25">
      <c r="A123" s="12" t="s">
        <v>34</v>
      </c>
      <c r="B123" s="2" t="s">
        <v>274</v>
      </c>
      <c r="C123" s="3" t="str">
        <f>HYPERLINK("https://transparencia-area-fim.mpce.mp.br/#/consulta/processo/pastadigital/092022000091296","09.2022.00009129-6")</f>
        <v>09.2022.00009129-6</v>
      </c>
      <c r="D123" s="4">
        <v>45342</v>
      </c>
      <c r="E123" s="16" t="str">
        <f>HYPERLINK("https://www8.mpce.mp.br/Empenhos/150001/Objeto/33-2022.pdf","LOCAÇÃO DE IMÓVEIS ONDE FUNCIONAM AS PROMOTORIAS DE JUSTIÇA DE VÁRZEA ALEGRE, CONTRATO 033/2022/PGJ REFERENTE AOS MESES DE FEV E MARÇO DE 2024.")</f>
        <v>LOCAÇÃO DE IMÓVEIS ONDE FUNCIONAM AS PROMOTORIAS DE JUSTIÇA DE VÁRZEA ALEGRE, CONTRATO 033/2022/PGJ REFERENTE AOS MESES DE FEV E MARÇO DE 2024.</v>
      </c>
      <c r="F123" s="2" t="s">
        <v>161</v>
      </c>
      <c r="G123" s="5" t="str">
        <f>HYPERLINK("http://www8.mpce.mp.br/Empenhos/150501/NE/2024NE000159.pdf","2024NE000159")</f>
        <v>2024NE000159</v>
      </c>
      <c r="H123" s="6">
        <v>1600</v>
      </c>
      <c r="I123" s="7" t="s">
        <v>197</v>
      </c>
      <c r="J123" s="10" t="s">
        <v>198</v>
      </c>
      <c r="K123" t="str">
        <f>HYPERLINK("http://www8.mpce.mp.br/Empenhos/150501/NE/2024NE000010.pdf","2024NE000010")</f>
        <v>2024NE000010</v>
      </c>
      <c r="L123" s="13">
        <v>563056.98</v>
      </c>
      <c r="M123" t="s">
        <v>72</v>
      </c>
      <c r="N123">
        <v>82845322000104</v>
      </c>
    </row>
    <row r="124" spans="1:14" ht="38.25" x14ac:dyDescent="0.25">
      <c r="A124" s="12" t="s">
        <v>34</v>
      </c>
      <c r="B124" s="2" t="s">
        <v>259</v>
      </c>
      <c r="C124" s="3" t="str">
        <f>HYPERLINK("https://transparencia-area-fim.mpce.mp.br/#/consulta/processo/pastadigital/092021000244271","09.2021.00024427-1")</f>
        <v>09.2021.00024427-1</v>
      </c>
      <c r="D124" s="4">
        <v>45342</v>
      </c>
      <c r="E124" s="16" t="str">
        <f>HYPERLINK("https://www8.mpce.mp.br/Empenhos/150001/Objeto/17-2022.pdf","LOCAÇÃO DE IMÓVEL CONFORME CONTRATO 17/2022 DAS PROMOTORIAS DE JUSTIÇA DE TIANGUÁ REFERENTE AO MES DE FEVEREIRO E MARÇO DE 2024, POR ESTIMATIVA.")</f>
        <v>LOCAÇÃO DE IMÓVEL CONFORME CONTRATO 17/2022 DAS PROMOTORIAS DE JUSTIÇA DE TIANGUÁ REFERENTE AO MES DE FEVEREIRO E MARÇO DE 2024, POR ESTIMATIVA.</v>
      </c>
      <c r="F124" s="2" t="s">
        <v>116</v>
      </c>
      <c r="G124" s="5" t="str">
        <f>HYPERLINK("http://www8.mpce.mp.br/Empenhos/150501/NE/2024NE000160.pdf","2024NE000160")</f>
        <v>2024NE000160</v>
      </c>
      <c r="H124" s="6">
        <v>52000</v>
      </c>
      <c r="I124" s="7" t="s">
        <v>175</v>
      </c>
      <c r="J124" s="10" t="s">
        <v>176</v>
      </c>
      <c r="K124" t="str">
        <f>HYPERLINK("http://www8.mpce.mp.br/Empenhos/150501/NE/2024NE000010.pdf","2024NE000010")</f>
        <v>2024NE000010</v>
      </c>
      <c r="L124" s="13">
        <v>563056.98</v>
      </c>
      <c r="M124" t="s">
        <v>72</v>
      </c>
      <c r="N124">
        <v>82845322000104</v>
      </c>
    </row>
    <row r="125" spans="1:14" ht="38.25" x14ac:dyDescent="0.25">
      <c r="A125" s="12" t="s">
        <v>9</v>
      </c>
      <c r="B125" s="2" t="s">
        <v>275</v>
      </c>
      <c r="C125" s="3" t="str">
        <f>HYPERLINK("https://transparencia-area-fim.mpce.mp.br/#/consulta/processo/pastadigital/092022000426227","09.2022.00042622-7")</f>
        <v>09.2022.00042622-7</v>
      </c>
      <c r="D125" s="4">
        <v>45342</v>
      </c>
      <c r="E125" s="16" t="str">
        <f>HYPERLINK("https://www8.mpce.mp.br/Empenhos/150001/Objeto/33-2023.pdf","LOCAÇÃO DE IMÓVEIS ONDE FUNCIONAM AS PROMOTORIAS DE JUSTIÇA DE JUCÁS, CONTRATO 033/2023/PGJ REFERENTE AOS MESES DE FEV E MARÇO DE 2024.")</f>
        <v>LOCAÇÃO DE IMÓVEIS ONDE FUNCIONAM AS PROMOTORIAS DE JUSTIÇA DE JUCÁS, CONTRATO 033/2023/PGJ REFERENTE AOS MESES DE FEV E MARÇO DE 2024.</v>
      </c>
      <c r="F125" s="2" t="s">
        <v>161</v>
      </c>
      <c r="G125" s="5" t="str">
        <f>HYPERLINK("http://www8.mpce.mp.br/Empenhos/150501/NE/2024NE000161.pdf","2024NE000161")</f>
        <v>2024NE000161</v>
      </c>
      <c r="H125" s="6">
        <v>5000</v>
      </c>
      <c r="I125" s="7" t="s">
        <v>195</v>
      </c>
      <c r="J125" s="10" t="s">
        <v>196</v>
      </c>
      <c r="K125" t="str">
        <f>HYPERLINK("http://www8.mpce.mp.br/Empenhos/150001/NE/2024NE000010.pdf","2024NE000010")</f>
        <v>2024NE000010</v>
      </c>
      <c r="L125">
        <v>600</v>
      </c>
      <c r="M125" t="s">
        <v>78</v>
      </c>
      <c r="N125">
        <v>5537196000171</v>
      </c>
    </row>
    <row r="126" spans="1:14" ht="51" x14ac:dyDescent="0.25">
      <c r="A126" s="12" t="s">
        <v>34</v>
      </c>
      <c r="B126" s="2" t="s">
        <v>160</v>
      </c>
      <c r="C126" s="3" t="str">
        <f>HYPERLINK("http://www8.mpce.mp.br/Dispensa/4793720162.pdf","4793720162")</f>
        <v>4793720162</v>
      </c>
      <c r="D126" s="4">
        <v>45342</v>
      </c>
      <c r="E126" s="16" t="str">
        <f>HYPERLINK("https://www8.mpce.mp.br/Empenhos/150001/Objeto/14-2017.pdf","LOCAÇÃO DE IMÓVEL, CONFORME CONTRATO 14/2017, RELATIVO AO GALPÃO DO ALMOXARIFADO (RUA NEUZINHA PARENTE, 610), REFERENTE A FEVEREIRO E MARÇO DE 2024 - POR ESTIMATIVA.")</f>
        <v>LOCAÇÃO DE IMÓVEL, CONFORME CONTRATO 14/2017, RELATIVO AO GALPÃO DO ALMOXARIFADO (RUA NEUZINHA PARENTE, 610), REFERENTE A FEVEREIRO E MARÇO DE 2024 - POR ESTIMATIVA.</v>
      </c>
      <c r="F126" s="2" t="s">
        <v>116</v>
      </c>
      <c r="G126" s="5" t="str">
        <f>HYPERLINK("http://www8.mpce.mp.br/Empenhos/150501/NE/2024NE000162.pdf","2024NE000162")</f>
        <v>2024NE000162</v>
      </c>
      <c r="H126" s="6">
        <v>44286.96</v>
      </c>
      <c r="I126" s="7" t="s">
        <v>153</v>
      </c>
      <c r="J126" s="10" t="s">
        <v>154</v>
      </c>
      <c r="K126" t="str">
        <f>HYPERLINK("http://www8.mpce.mp.br/Empenhos/150501/NE/2024NE000011.pdf","2024NE000011")</f>
        <v>2024NE000011</v>
      </c>
      <c r="L126" s="13">
        <v>409439.37</v>
      </c>
      <c r="M126" t="s">
        <v>72</v>
      </c>
      <c r="N126">
        <v>82845322000104</v>
      </c>
    </row>
    <row r="127" spans="1:14" ht="38.25" x14ac:dyDescent="0.25">
      <c r="A127" s="12" t="s">
        <v>9</v>
      </c>
      <c r="B127" s="2" t="s">
        <v>276</v>
      </c>
      <c r="C127" s="3" t="str">
        <f>HYPERLINK("https://transparencia-area-fim.mpce.mp.br/#/consulta/processo/pastadigital/092022000371847","09.2022.00037184-7")</f>
        <v>09.2022.00037184-7</v>
      </c>
      <c r="D127" s="4">
        <v>45342</v>
      </c>
      <c r="E127" s="16" t="str">
        <f>HYPERLINK("https://www8.mpce.mp.br/Empenhos/150001/Objeto/44-2023.pdf","LOCAÇÃO DE IMÓVEIS ONDE FUNCIONAM AS PROMOTORIAS DE JUSTIÇA DE MARCO, CONTRATO 044/2023/PGJ REFERENTE AO MES DE FEV E MARÇO DE 2024.")</f>
        <v>LOCAÇÃO DE IMÓVEIS ONDE FUNCIONAM AS PROMOTORIAS DE JUSTIÇA DE MARCO, CONTRATO 044/2023/PGJ REFERENTE AO MES DE FEV E MARÇO DE 2024.</v>
      </c>
      <c r="F127" s="2" t="s">
        <v>161</v>
      </c>
      <c r="G127" s="5" t="str">
        <f>HYPERLINK("http://www8.mpce.mp.br/Empenhos/150501/NE/2024NE000163.pdf","2024NE000163")</f>
        <v>2024NE000163</v>
      </c>
      <c r="H127" s="6">
        <v>2400</v>
      </c>
      <c r="I127" s="7" t="s">
        <v>182</v>
      </c>
      <c r="J127" s="10" t="s">
        <v>183</v>
      </c>
      <c r="K127" t="str">
        <f>HYPERLINK("http://www8.mpce.mp.br/Empenhos/150501/NE/2024NE000011.pdf","2024NE000011")</f>
        <v>2024NE000011</v>
      </c>
      <c r="L127" s="13">
        <v>409439.37</v>
      </c>
      <c r="M127" t="s">
        <v>72</v>
      </c>
      <c r="N127">
        <v>82845322000104</v>
      </c>
    </row>
    <row r="128" spans="1:14" ht="51" x14ac:dyDescent="0.25">
      <c r="A128" s="12" t="s">
        <v>34</v>
      </c>
      <c r="B128" s="2" t="s">
        <v>160</v>
      </c>
      <c r="C128" s="3" t="str">
        <f>HYPERLINK("http://www8.mpce.mp.br/Dispensa/4572720144.pdf","45727/2014-4")</f>
        <v>45727/2014-4</v>
      </c>
      <c r="D128" s="4">
        <v>45342</v>
      </c>
      <c r="E128" s="16" t="str">
        <f>HYPERLINK("https://www8.mpce.mp.br/Empenhos/150001/Objeto/01-2015.pdf","LOCAÇÃO DE IMÓVEIS ONDE FUNCIONAM AS PROMOTORIAS DE JUSTIÇA DE JUAZEIRO DO NORTE, CONFORME CONTRATO 001/2015/PGJ RELATIVOS AS COMPETÊNCIAS DE FEVEREIRO E MARÇO DE 2024 - POR ESTIMATIVA.")</f>
        <v>LOCAÇÃO DE IMÓVEIS ONDE FUNCIONAM AS PROMOTORIAS DE JUSTIÇA DE JUAZEIRO DO NORTE, CONFORME CONTRATO 001/2015/PGJ RELATIVOS AS COMPETÊNCIAS DE FEVEREIRO E MARÇO DE 2024 - POR ESTIMATIVA.</v>
      </c>
      <c r="F128" s="2" t="s">
        <v>116</v>
      </c>
      <c r="G128" s="5" t="str">
        <f>HYPERLINK("http://www8.mpce.mp.br/Empenhos/150501/NE/2024NE000164.pdf","2024NE000164")</f>
        <v>2024NE000164</v>
      </c>
      <c r="H128" s="6">
        <v>65525.26</v>
      </c>
      <c r="I128" s="7" t="s">
        <v>215</v>
      </c>
      <c r="J128" s="10" t="s">
        <v>216</v>
      </c>
      <c r="K128" t="str">
        <f>HYPERLINK("http://www8.mpce.mp.br/Empenhos/150501/NE/2024NE000011.pdf","2024NE000011")</f>
        <v>2024NE000011</v>
      </c>
      <c r="L128" s="13">
        <v>409439.37</v>
      </c>
      <c r="M128" t="s">
        <v>72</v>
      </c>
      <c r="N128">
        <v>82845322000104</v>
      </c>
    </row>
    <row r="129" spans="1:14" ht="51" x14ac:dyDescent="0.25">
      <c r="A129" s="12" t="s">
        <v>34</v>
      </c>
      <c r="B129" s="2" t="s">
        <v>277</v>
      </c>
      <c r="C129" s="3" t="str">
        <f>HYPERLINK("http://www8.mpce.mp.br/Dispensa/2826420164.pdf","28264/2016-4")</f>
        <v>28264/2016-4</v>
      </c>
      <c r="D129" s="4">
        <v>45342</v>
      </c>
      <c r="E129" s="16" t="str">
        <f>HYPERLINK("https://www8.mpce.mp.br/Empenhos/150001/Objeto/26-2016.pdf","EMPENHO DE IPTU/2024, REFERENTE A 1ª PARCELA, ONDE FUNCIONAM OS CENTROS DE APOIO E INVESTIGAÇÃO, LOCALIZADA NA AVENIDA ANTÔNIO SALES, 1740, DIONÍSIO TORRES, CONF. CONTRATO Nº026/2016/PGJ.")</f>
        <v>EMPENHO DE IPTU/2024, REFERENTE A 1ª PARCELA, ONDE FUNCIONAM OS CENTROS DE APOIO E INVESTIGAÇÃO, LOCALIZADA NA AVENIDA ANTÔNIO SALES, 1740, DIONÍSIO TORRES, CONF. CONTRATO Nº026/2016/PGJ.</v>
      </c>
      <c r="F129" s="2" t="s">
        <v>252</v>
      </c>
      <c r="G129" s="5" t="str">
        <f>HYPERLINK("http://www8.mpce.mp.br/Empenhos/150501/NE/2024NE000165.pdf","2024NE000165")</f>
        <v>2024NE000165</v>
      </c>
      <c r="H129" s="6">
        <v>3155.42</v>
      </c>
      <c r="I129" s="7" t="s">
        <v>142</v>
      </c>
      <c r="J129" s="10" t="s">
        <v>143</v>
      </c>
      <c r="K129" t="str">
        <f>HYPERLINK("http://www8.mpce.mp.br/Empenhos/150501/NE/2024NE000011.pdf","2024NE000011")</f>
        <v>2024NE000011</v>
      </c>
      <c r="L129" s="13">
        <v>409439.37</v>
      </c>
      <c r="M129" t="s">
        <v>72</v>
      </c>
      <c r="N129">
        <v>82845322000104</v>
      </c>
    </row>
    <row r="130" spans="1:14" ht="51" x14ac:dyDescent="0.25">
      <c r="A130" s="12" t="s">
        <v>34</v>
      </c>
      <c r="B130" s="2" t="s">
        <v>160</v>
      </c>
      <c r="C130" s="3" t="str">
        <f>HYPERLINK("http://www8.mpce.mp.br/Dispensa/1984020196.pdf","19840/2019-6")</f>
        <v>19840/2019-6</v>
      </c>
      <c r="D130" s="4">
        <v>45342</v>
      </c>
      <c r="E130" s="16" t="str">
        <f>HYPERLINK("https://www8.mpce.mp.br/Empenhos/150001/Objeto/48-2019.pdf","LOCAÇÃO DE IMÓVEIS ONDE FUNCIONAM AS PROMOTORIAS DE JUSTIÇA DE CAUCAIA, CONFORME CONTRATO 048/2019/PGJ RELATIVOS AS COMPETÊNCIAS DE FEVEREIRO E MARÇO DE 2024 - POR ESTIMATIVA.")</f>
        <v>LOCAÇÃO DE IMÓVEIS ONDE FUNCIONAM AS PROMOTORIAS DE JUSTIÇA DE CAUCAIA, CONFORME CONTRATO 048/2019/PGJ RELATIVOS AS COMPETÊNCIAS DE FEVEREIRO E MARÇO DE 2024 - POR ESTIMATIVA.</v>
      </c>
      <c r="F130" s="2" t="s">
        <v>116</v>
      </c>
      <c r="G130" s="5" t="str">
        <f>HYPERLINK("http://www8.mpce.mp.br/Empenhos/150501/NE/2024NE000166.pdf","2024NE000166")</f>
        <v>2024NE000166</v>
      </c>
      <c r="H130" s="6">
        <v>91025.54</v>
      </c>
      <c r="I130" s="7" t="s">
        <v>151</v>
      </c>
      <c r="J130" s="10" t="s">
        <v>152</v>
      </c>
      <c r="K130" t="str">
        <f>HYPERLINK("http://www8.mpce.mp.br/Empenhos/150001/NE/2024NE000011.pdf","2024NE000011")</f>
        <v>2024NE000011</v>
      </c>
      <c r="L130" s="13">
        <v>16000</v>
      </c>
      <c r="M130" t="s">
        <v>82</v>
      </c>
      <c r="N130">
        <v>13357557000126</v>
      </c>
    </row>
    <row r="131" spans="1:14" ht="38.25" x14ac:dyDescent="0.25">
      <c r="A131" s="12" t="s">
        <v>34</v>
      </c>
      <c r="B131" s="2" t="s">
        <v>278</v>
      </c>
      <c r="C131" s="3" t="str">
        <f>HYPERLINK("https://transparencia-area-fim.mpce.mp.br/#/consulta/processo/pastadigital/092022000276145","09.2022.00027614-5")</f>
        <v>09.2022.00027614-5</v>
      </c>
      <c r="D131" s="4">
        <v>45342</v>
      </c>
      <c r="E131" s="16" t="str">
        <f>HYPERLINK("https://www8.mpce.mp.br/Empenhos/150001/Objeto/36-2022.pdf","LOCAÇÃO DE IMÓVEL ONDE FUNCIONAM AS PROMOTORIAS DE JUSTIÇA DE ARARIPE, CONTRATO 036/2022/PGJ REFERENTE AOS MESES DE FEV E MARÇO DE 2024.")</f>
        <v>LOCAÇÃO DE IMÓVEL ONDE FUNCIONAM AS PROMOTORIAS DE JUSTIÇA DE ARARIPE, CONTRATO 036/2022/PGJ REFERENTE AOS MESES DE FEV E MARÇO DE 2024.</v>
      </c>
      <c r="F131" s="2" t="s">
        <v>161</v>
      </c>
      <c r="G131" s="5" t="str">
        <f>HYPERLINK("http://www8.mpce.mp.br/Empenhos/150501/NE/2024NE000167.pdf","2024NE000167")</f>
        <v>2024NE000167</v>
      </c>
      <c r="H131" s="6">
        <v>3000</v>
      </c>
      <c r="I131" s="7" t="s">
        <v>191</v>
      </c>
      <c r="J131" s="10" t="s">
        <v>192</v>
      </c>
      <c r="K131" t="str">
        <f>HYPERLINK("http://www8.mpce.mp.br/Empenhos/150501/NE/2024NE000011.pdf","2024NE000011")</f>
        <v>2024NE000011</v>
      </c>
      <c r="L131" s="13">
        <v>409439.37</v>
      </c>
      <c r="M131" t="s">
        <v>72</v>
      </c>
      <c r="N131">
        <v>82845322000104</v>
      </c>
    </row>
    <row r="132" spans="1:14" ht="76.5" x14ac:dyDescent="0.25">
      <c r="A132" s="12" t="s">
        <v>34</v>
      </c>
      <c r="B132" s="2" t="s">
        <v>160</v>
      </c>
      <c r="C132" s="3" t="str">
        <f>HYPERLINK("http://www8.mpce.mp.br/Dispensa/842220170.pdf","8422/20170")</f>
        <v>8422/20170</v>
      </c>
      <c r="D132" s="4">
        <v>45342</v>
      </c>
      <c r="E132" s="16" t="str">
        <f>HYPERLINK("https://www8.mpce.mp.br/Empenhos/150001/Objeto/16-2017.pdf","LOCAÇÃO DE IMÓVEIS ONDE FUNCIONAM AS PROCURADORIAS DE JUSTIÇA, PROCAP E GECOC (RUA CORONEL JOSÉ PHILOMENO, 222, ENG. LUCIANO CAVALCANTE), CONFORME CONTRATO 016/2017/PGJ RELATIVOS AS COMPETÊNCIAS DE FEVEREIRO E MARÇO DE 2024 - POR ESTIMATIVA.")</f>
        <v>LOCAÇÃO DE IMÓVEIS ONDE FUNCIONAM AS PROCURADORIAS DE JUSTIÇA, PROCAP E GECOC (RUA CORONEL JOSÉ PHILOMENO, 222, ENG. LUCIANO CAVALCANTE), CONFORME CONTRATO 016/2017/PGJ RELATIVOS AS COMPETÊNCIAS DE FEVEREIRO E MARÇO DE 2024 - POR ESTIMATIVA.</v>
      </c>
      <c r="F132" s="2" t="s">
        <v>116</v>
      </c>
      <c r="G132" s="5" t="str">
        <f>HYPERLINK("http://www8.mpce.mp.br/Empenhos/150501/NE/2024NE000168.pdf","2024NE000168")</f>
        <v>2024NE000168</v>
      </c>
      <c r="H132" s="6">
        <v>117821.94</v>
      </c>
      <c r="I132" s="7" t="s">
        <v>158</v>
      </c>
      <c r="J132" s="10" t="s">
        <v>159</v>
      </c>
      <c r="K132" t="str">
        <f>HYPERLINK("http://www8.mpce.mp.br/Empenhos/150501/NE/2024NE000012.pdf","2024NE000012")</f>
        <v>2024NE000012</v>
      </c>
      <c r="L132" s="13">
        <v>493161.21</v>
      </c>
      <c r="M132" t="s">
        <v>72</v>
      </c>
      <c r="N132">
        <v>82845322000104</v>
      </c>
    </row>
    <row r="133" spans="1:14" ht="38.25" x14ac:dyDescent="0.25">
      <c r="A133" s="12" t="s">
        <v>34</v>
      </c>
      <c r="B133" s="2" t="s">
        <v>279</v>
      </c>
      <c r="C133" s="3" t="str">
        <f>HYPERLINK("https://transparencia-area-fim.mpce.mp.br/#/consulta/processo/pastadigital/092021000065217","09.2021.00006521-7")</f>
        <v>09.2021.00006521-7</v>
      </c>
      <c r="D133" s="4">
        <v>45342</v>
      </c>
      <c r="E133" s="16" t="str">
        <f>HYPERLINK("https://www8.mpce.mp.br/Empenhos/150001/Objeto/38-2021.pdf","EMPENHO DOS ALUGUÉIS DOS MESES DE FEV E MARÇO DE 2024, ONDE FUNCIONAM AS PROMOTORIAS DE JUSTIÇA DA COMARCA DE TAUÁ, CONF. CONTRATO 038/2021/PGJ.")</f>
        <v>EMPENHO DOS ALUGUÉIS DOS MESES DE FEV E MARÇO DE 2024, ONDE FUNCIONAM AS PROMOTORIAS DE JUSTIÇA DA COMARCA DE TAUÁ, CONF. CONTRATO 038/2021/PGJ.</v>
      </c>
      <c r="F133" s="2" t="s">
        <v>116</v>
      </c>
      <c r="G133" s="5" t="str">
        <f>HYPERLINK("http://www8.mpce.mp.br/Empenhos/150501/NE/2024NE000169.pdf","2024NE000169")</f>
        <v>2024NE000169</v>
      </c>
      <c r="H133" s="6">
        <v>36000</v>
      </c>
      <c r="I133" s="7" t="s">
        <v>146</v>
      </c>
      <c r="J133" s="10" t="s">
        <v>147</v>
      </c>
      <c r="K133" t="str">
        <f>HYPERLINK("http://www8.mpce.mp.br/Empenhos/150501/NE/2024NE000012.pdf","2024NE000012")</f>
        <v>2024NE000012</v>
      </c>
      <c r="L133" s="13">
        <v>493161.21</v>
      </c>
      <c r="M133" t="s">
        <v>72</v>
      </c>
      <c r="N133">
        <v>82845322000104</v>
      </c>
    </row>
    <row r="134" spans="1:14" ht="51" x14ac:dyDescent="0.25">
      <c r="A134" s="12" t="s">
        <v>34</v>
      </c>
      <c r="B134" s="2" t="s">
        <v>160</v>
      </c>
      <c r="C134" s="3" t="str">
        <f>HYPERLINK("http://www8.mpce.mp.br/Dispensa/2887720171.pdf","28877/2017-1")</f>
        <v>28877/2017-1</v>
      </c>
      <c r="D134" s="4">
        <v>45342</v>
      </c>
      <c r="E134" s="16" t="str">
        <f>HYPERLINK("https://www8.mpce.mp.br/Empenhos/150001/Objeto/24-2019.pdf","LOCAÇÃO DE IMÓVEIS ONDE FUNCIONAM AS PROMOTORIAS DE JUSTIÇA DE JAGUARIBE, CONFORME CONTRATO 024/2019/PGJ RELATIVOS AS COMPETÊNCIAS DE FEVEREIRO DE 2024 - POR ESTIMATIVA")</f>
        <v>LOCAÇÃO DE IMÓVEIS ONDE FUNCIONAM AS PROMOTORIAS DE JUSTIÇA DE JAGUARIBE, CONFORME CONTRATO 024/2019/PGJ RELATIVOS AS COMPETÊNCIAS DE FEVEREIRO DE 2024 - POR ESTIMATIVA</v>
      </c>
      <c r="F134" s="2" t="s">
        <v>116</v>
      </c>
      <c r="G134" s="5" t="str">
        <f>HYPERLINK("http://www8.mpce.mp.br/Empenhos/150501/NE/2024NE000170.pdf","2024NE000170")</f>
        <v>2024NE000170</v>
      </c>
      <c r="H134" s="6">
        <v>1431.35</v>
      </c>
      <c r="I134" s="7" t="s">
        <v>140</v>
      </c>
      <c r="J134" s="10" t="s">
        <v>141</v>
      </c>
      <c r="K134" t="str">
        <f>HYPERLINK("http://www8.mpce.mp.br/Empenhos/150501/NE/2024NE000012.pdf","2024NE000012")</f>
        <v>2024NE000012</v>
      </c>
      <c r="L134" s="13">
        <v>493161.21</v>
      </c>
      <c r="M134" t="s">
        <v>72</v>
      </c>
      <c r="N134">
        <v>82845322000104</v>
      </c>
    </row>
    <row r="135" spans="1:14" ht="51" x14ac:dyDescent="0.25">
      <c r="A135" s="12" t="s">
        <v>9</v>
      </c>
      <c r="B135" s="2" t="s">
        <v>280</v>
      </c>
      <c r="C135" s="3" t="str">
        <f>HYPERLINK("https://transparencia-area-fim.mpce.mp.br/#/consulta/processo/pastadigital/092023000214163","09.2023.00021416-3")</f>
        <v>09.2023.00021416-3</v>
      </c>
      <c r="D135" s="4">
        <v>45342</v>
      </c>
      <c r="E135" s="16" t="str">
        <f>HYPERLINK("https://www8.mpce.mp.br/Empenhos/150001/Objeto/56-2023.pdf","LOCAÇÃO DE IMÓVEIS ONDE FUNCIONAM AS PROMOTORIAS DE JUSTIÇA DE BATURITÉ, CONFORME CONTRATO 056/2023/PGJ RELATIVOS AS COMPETÊNCIAS DE FEVEREIRO E MARÇO DE 2024 - POR ESTIMATIVA.")</f>
        <v>LOCAÇÃO DE IMÓVEIS ONDE FUNCIONAM AS PROMOTORIAS DE JUSTIÇA DE BATURITÉ, CONFORME CONTRATO 056/2023/PGJ RELATIVOS AS COMPETÊNCIAS DE FEVEREIRO E MARÇO DE 2024 - POR ESTIMATIVA.</v>
      </c>
      <c r="F135" s="2" t="s">
        <v>116</v>
      </c>
      <c r="G135" s="5" t="str">
        <f>HYPERLINK("http://www8.mpce.mp.br/Empenhos/150501/NE/2024NE000171.pdf","2024NE000171")</f>
        <v>2024NE000171</v>
      </c>
      <c r="H135" s="6">
        <v>10800</v>
      </c>
      <c r="I135" s="7" t="s">
        <v>156</v>
      </c>
      <c r="J135" s="10" t="s">
        <v>157</v>
      </c>
      <c r="K135" t="str">
        <f>HYPERLINK("http://www8.mpce.mp.br/Empenhos/150501/NE/2024NE000012.pdf","2024NE000012")</f>
        <v>2024NE000012</v>
      </c>
      <c r="L135" s="13">
        <v>493161.21</v>
      </c>
      <c r="M135" t="s">
        <v>72</v>
      </c>
      <c r="N135">
        <v>82845322000104</v>
      </c>
    </row>
    <row r="136" spans="1:14" ht="51" x14ac:dyDescent="0.25">
      <c r="A136" s="12" t="s">
        <v>34</v>
      </c>
      <c r="B136" s="2" t="s">
        <v>281</v>
      </c>
      <c r="C136" s="3" t="str">
        <f>HYPERLINK("https://transparencia-area-fim.mpce.mp.br/#/consulta/processo/pastadigital/092022000230870","09.2022.00023087-0")</f>
        <v>09.2022.00023087-0</v>
      </c>
      <c r="D136" s="4">
        <v>45342</v>
      </c>
      <c r="E136" s="16" t="str">
        <f>HYPERLINK("https://www8.mpce.mp.br/Empenhos/150001/Objeto/29-2022.pdf","LOCAÇÃO DE IMÓVEIS ONDE FUNCIONAM AS PROMOTORIAS DE JUSTIÇA DE JUAZEIRO DO NORTE, CONFORME CONTRATO 029/2022/PGJ RELATIVOS AS COMPETÊNCIAS DE FEVEREIRO E MARÇO DE 2024 - POR ESTIMATIVA.")</f>
        <v>LOCAÇÃO DE IMÓVEIS ONDE FUNCIONAM AS PROMOTORIAS DE JUSTIÇA DE JUAZEIRO DO NORTE, CONFORME CONTRATO 029/2022/PGJ RELATIVOS AS COMPETÊNCIAS DE FEVEREIRO E MARÇO DE 2024 - POR ESTIMATIVA.</v>
      </c>
      <c r="F136" s="2" t="s">
        <v>116</v>
      </c>
      <c r="G136" s="5" t="str">
        <f>HYPERLINK("http://www8.mpce.mp.br/Empenhos/150501/NE/2024NE000172.pdf","2024NE000172")</f>
        <v>2024NE000172</v>
      </c>
      <c r="H136" s="6">
        <v>132322.82</v>
      </c>
      <c r="I136" s="7" t="s">
        <v>132</v>
      </c>
      <c r="J136" s="10" t="s">
        <v>133</v>
      </c>
      <c r="K136" t="str">
        <f>HYPERLINK("http://www8.mpce.mp.br/Empenhos/150501/NE/2024NE000012.pdf","2024NE000012")</f>
        <v>2024NE000012</v>
      </c>
      <c r="L136" s="13">
        <v>493161.21</v>
      </c>
      <c r="M136" t="s">
        <v>72</v>
      </c>
      <c r="N136">
        <v>82845322000104</v>
      </c>
    </row>
    <row r="137" spans="1:14" ht="51" x14ac:dyDescent="0.25">
      <c r="A137" s="12" t="s">
        <v>34</v>
      </c>
      <c r="B137" s="2" t="s">
        <v>136</v>
      </c>
      <c r="C137" s="3" t="str">
        <f>HYPERLINK("https://transparencia-area-fim.mpce.mp.br/#/consulta/processo/pastadigital/092022000081432","09.2022.00008143-2")</f>
        <v>09.2022.00008143-2</v>
      </c>
      <c r="D137" s="4">
        <v>45342</v>
      </c>
      <c r="E137" s="16" t="str">
        <f>HYPERLINK("https://www8.mpce.mp.br/Empenhos/150001/Objeto/16-2022.pdf","LOCAÇÃO DE IMÓVEIS ONDE FUNCIONAM AS PROMOTORIAS DE JUSTIÇA DE BARBALHA, CONFORME CONTRATO 016/2022/PGJ RELATIVOS AS COMPETÊNCIAS DE FEVEREIRO E MARÇO DE 2024 - POR ESTIMATIVA.")</f>
        <v>LOCAÇÃO DE IMÓVEIS ONDE FUNCIONAM AS PROMOTORIAS DE JUSTIÇA DE BARBALHA, CONFORME CONTRATO 016/2022/PGJ RELATIVOS AS COMPETÊNCIAS DE FEVEREIRO E MARÇO DE 2024 - POR ESTIMATIVA.</v>
      </c>
      <c r="F137" s="2" t="s">
        <v>116</v>
      </c>
      <c r="G137" s="5" t="str">
        <f>HYPERLINK("http://www8.mpce.mp.br/Empenhos/150501/NE/2024NE000173.pdf","2024NE000173")</f>
        <v>2024NE000173</v>
      </c>
      <c r="H137" s="6">
        <v>32868.519999999997</v>
      </c>
      <c r="I137" s="7" t="s">
        <v>132</v>
      </c>
      <c r="J137" s="10" t="s">
        <v>133</v>
      </c>
      <c r="K137" t="str">
        <f>HYPERLINK("http://www8.mpce.mp.br/Empenhos/150001/NE/2024NE000012.pdf","2024NE000012")</f>
        <v>2024NE000012</v>
      </c>
      <c r="L137">
        <v>150</v>
      </c>
      <c r="M137" t="s">
        <v>85</v>
      </c>
      <c r="N137">
        <v>7476369000114</v>
      </c>
    </row>
    <row r="138" spans="1:14" ht="51" x14ac:dyDescent="0.25">
      <c r="A138" s="12" t="s">
        <v>9</v>
      </c>
      <c r="B138" s="2" t="s">
        <v>282</v>
      </c>
      <c r="C138" s="3" t="str">
        <f>HYPERLINK("http://www8.mpce.mp.br/Inexigibilidade/1045920194.pdf","10459/2019-4")</f>
        <v>10459/2019-4</v>
      </c>
      <c r="D138" s="4">
        <v>45342</v>
      </c>
      <c r="E138" s="16" t="str">
        <f>HYPERLINK("https://www8.mpce.mp.br/Empenhos/150001/Objeto/47-2019.pdf","SERVIÇOS DE ANÁLISE DETALHADA E IMPARCIAL CONFORME CONTRATO 47/2019 EM EMPRESA  DE COLETA DE RESÍDUOS SÓLIDO NO MUNICÍPIO DE PARAIPABA-CE.")</f>
        <v>SERVIÇOS DE ANÁLISE DETALHADA E IMPARCIAL CONFORME CONTRATO 47/2019 EM EMPRESA  DE COLETA DE RESÍDUOS SÓLIDO NO MUNICÍPIO DE PARAIPABA-CE.</v>
      </c>
      <c r="F138" s="2" t="s">
        <v>253</v>
      </c>
      <c r="G138" s="5" t="str">
        <f>HYPERLINK("http://www8.mpce.mp.br/Empenhos/150501/NE/2024NE000174.pdf","2024NE000174")</f>
        <v>2024NE000174</v>
      </c>
      <c r="H138" s="6">
        <v>19996.7</v>
      </c>
      <c r="I138" s="7" t="s">
        <v>254</v>
      </c>
      <c r="J138" s="10" t="s">
        <v>829</v>
      </c>
      <c r="K138" t="str">
        <f>HYPERLINK("http://www8.mpce.mp.br/Empenhos/150001/NE/2024NE000013.pdf","2024NE000013")</f>
        <v>2024NE000013</v>
      </c>
      <c r="L138" s="13">
        <v>60000</v>
      </c>
      <c r="M138" t="s">
        <v>89</v>
      </c>
      <c r="N138">
        <v>34028316001002</v>
      </c>
    </row>
    <row r="139" spans="1:14" ht="51" x14ac:dyDescent="0.25">
      <c r="A139" s="12" t="s">
        <v>34</v>
      </c>
      <c r="B139" s="2" t="s">
        <v>283</v>
      </c>
      <c r="C139" s="3" t="str">
        <f>HYPERLINK("https://transparencia-area-fim.mpce.mp.br/#/consulta/processo/pastadigital/092022000343751","09.2022.00034375-1")</f>
        <v>09.2022.00034375-1</v>
      </c>
      <c r="D139" s="4">
        <v>45343</v>
      </c>
      <c r="E139" s="16" t="str">
        <f>HYPERLINK("https://www8.mpce.mp.br/Empenhos/150001/Objeto/08-2023.pdf","LOCAÇÃO DE IMÓVEIS ONDE FUNCIONAM AS PROMOTORIAS DE JUSTIÇA DE QUIXERAMOBIM, CONFORME CONTRATO 008/2023/PGJ RELATIVOS AS COMPETÊNCIAS DE FEVEREIRO E MARÇO DE 2024 - POR ESTIMATIVA.")</f>
        <v>LOCAÇÃO DE IMÓVEIS ONDE FUNCIONAM AS PROMOTORIAS DE JUSTIÇA DE QUIXERAMOBIM, CONFORME CONTRATO 008/2023/PGJ RELATIVOS AS COMPETÊNCIAS DE FEVEREIRO E MARÇO DE 2024 - POR ESTIMATIVA.</v>
      </c>
      <c r="F139" s="2" t="s">
        <v>116</v>
      </c>
      <c r="G139" s="5" t="str">
        <f>HYPERLINK("http://www8.mpce.mp.br/Empenhos/150501/NE/2024NE000175.pdf","2024NE000175")</f>
        <v>2024NE000175</v>
      </c>
      <c r="H139" s="6">
        <v>28360</v>
      </c>
      <c r="I139" s="7" t="s">
        <v>129</v>
      </c>
      <c r="J139" s="10" t="s">
        <v>130</v>
      </c>
      <c r="K139" t="str">
        <f>HYPERLINK("http://www8.mpce.mp.br/Empenhos/150001/NE/2024NE000015.pdf","2024NE000015")</f>
        <v>2024NE000015</v>
      </c>
      <c r="L139">
        <v>117.84</v>
      </c>
      <c r="M139" t="s">
        <v>92</v>
      </c>
      <c r="N139">
        <v>7620701000172</v>
      </c>
    </row>
    <row r="140" spans="1:14" ht="76.5" x14ac:dyDescent="0.25">
      <c r="A140" s="12" t="s">
        <v>34</v>
      </c>
      <c r="B140" s="2" t="s">
        <v>284</v>
      </c>
      <c r="C140" s="3" t="str">
        <f>HYPERLINK("http://www8.mpce.mp.br/Dispensa/2004820193.pdf","20048/2019-3")</f>
        <v>20048/2019-3</v>
      </c>
      <c r="D140" s="4">
        <v>45343</v>
      </c>
      <c r="E140" s="16" t="str">
        <f>HYPERLINK("https://www8.mpce.mp.br/Empenhos/150001/Objeto/84-2019.pdf","EMPENHO DOS ALUGUÉIS DOS MESES DE FEV E  MARÇO DE 2024, REF. AO IMÓVEL ONDE FUNCIONAM AS PROMOTORIAS DE JUSTIÇA DE MOMBAÇA, LOCALIZADA À RUA NOSSA SENHORA DO PERPÉTUO SOCORRO, Nº 340, BAIRRO CENTRO, MOMBAÇA-CE, CONF CONTRATO Nº 084/2019/PGJ.")</f>
        <v>EMPENHO DOS ALUGUÉIS DOS MESES DE FEV E  MARÇO DE 2024, REF. AO IMÓVEL ONDE FUNCIONAM AS PROMOTORIAS DE JUSTIÇA DE MOMBAÇA, LOCALIZADA À RUA NOSSA SENHORA DO PERPÉTUO SOCORRO, Nº 340, BAIRRO CENTRO, MOMBAÇA-CE, CONF CONTRATO Nº 084/2019/PGJ.</v>
      </c>
      <c r="F140" s="2" t="s">
        <v>161</v>
      </c>
      <c r="G140" s="5" t="str">
        <f>HYPERLINK("http://www8.mpce.mp.br/Empenhos/150501/NE/2024NE000176.pdf","2024NE000176")</f>
        <v>2024NE000176</v>
      </c>
      <c r="H140" s="6">
        <v>8000</v>
      </c>
      <c r="I140" s="7" t="s">
        <v>162</v>
      </c>
      <c r="J140" s="10" t="s">
        <v>163</v>
      </c>
      <c r="K140" t="str">
        <f>HYPERLINK("http://www8.mpce.mp.br/Empenhos/150001/NE/2024NE000016.pdf","2024NE000016")</f>
        <v>2024NE000016</v>
      </c>
      <c r="L140" s="13">
        <v>1200</v>
      </c>
      <c r="M140" t="s">
        <v>95</v>
      </c>
      <c r="N140">
        <v>7113566000179</v>
      </c>
    </row>
    <row r="141" spans="1:14" ht="51" x14ac:dyDescent="0.25">
      <c r="A141" s="12" t="s">
        <v>34</v>
      </c>
      <c r="B141" s="2" t="s">
        <v>131</v>
      </c>
      <c r="C141" s="3" t="str">
        <f>HYPERLINK("https://transparencia-area-fim.mpce.mp.br/#/consulta/processo/pastadigital/092021000244282","09.2021.00024428-2")</f>
        <v>09.2021.00024428-2</v>
      </c>
      <c r="D141" s="4">
        <v>45343</v>
      </c>
      <c r="E141" s="16" t="str">
        <f>HYPERLINK("https://www8.mpce.mp.br/Empenhos/150001/Objeto/18-2022.pdf","LOCAÇÃO DE IMÓVEIS ONDE FUNCIONAM AS PROMOTORIAS DE JUSTIÇA DE CRATEÚS, CONFORME CONTRATO 018/2022/PGJ RELATIVOS AS COMPETÊNCIAS DE FEVEREIRO E MARÇO DE 2024 - POR ESTIMATIVA.")</f>
        <v>LOCAÇÃO DE IMÓVEIS ONDE FUNCIONAM AS PROMOTORIAS DE JUSTIÇA DE CRATEÚS, CONFORME CONTRATO 018/2022/PGJ RELATIVOS AS COMPETÊNCIAS DE FEVEREIRO E MARÇO DE 2024 - POR ESTIMATIVA.</v>
      </c>
      <c r="F141" s="2" t="s">
        <v>116</v>
      </c>
      <c r="G141" s="5" t="str">
        <f>HYPERLINK("http://www8.mpce.mp.br/Empenhos/150501/NE/2024NE000177.pdf","2024NE000177")</f>
        <v>2024NE000177</v>
      </c>
      <c r="H141" s="6">
        <v>52000.2</v>
      </c>
      <c r="I141" s="7" t="s">
        <v>134</v>
      </c>
      <c r="J141" s="10" t="s">
        <v>135</v>
      </c>
      <c r="K141" t="str">
        <f>HYPERLINK("http://www8.mpce.mp.br/Empenhos/150001/NE/2024NE000017.pdf","2024NE000017")</f>
        <v>2024NE000017</v>
      </c>
      <c r="L141" s="13">
        <v>3000</v>
      </c>
      <c r="M141" t="s">
        <v>98</v>
      </c>
      <c r="N141">
        <v>7817778000137</v>
      </c>
    </row>
    <row r="142" spans="1:14" ht="38.25" x14ac:dyDescent="0.25">
      <c r="A142" s="12" t="s">
        <v>34</v>
      </c>
      <c r="B142" s="2" t="s">
        <v>285</v>
      </c>
      <c r="C142" s="3" t="str">
        <f>HYPERLINK("http://www8.mpce.mp.br/Dispensa/6795020160.pdf","6795020160")</f>
        <v>6795020160</v>
      </c>
      <c r="D142" s="4">
        <v>45343</v>
      </c>
      <c r="E142" s="16" t="str">
        <f>HYPERLINK("https://www8.mpce.mp.br/Empenhos/150001/Objeto/08-2017.pdf","LOCAÇÃO DE IMÓVEIS ONDE FUNCIONAM AS PROMOTORIAS DE JUSTIÇA DE JARDIM, CONTRATO 008/2017/PGJ REFERENTE AOS MESES DE FEV E MARÇO DE 2024.")</f>
        <v>LOCAÇÃO DE IMÓVEIS ONDE FUNCIONAM AS PROMOTORIAS DE JUSTIÇA DE JARDIM, CONTRATO 008/2017/PGJ REFERENTE AOS MESES DE FEV E MARÇO DE 2024.</v>
      </c>
      <c r="F142" s="2" t="s">
        <v>161</v>
      </c>
      <c r="G142" s="5" t="str">
        <f>HYPERLINK("http://www8.mpce.mp.br/Empenhos/150501/NE/2024NE000178.pdf","2024NE000178")</f>
        <v>2024NE000178</v>
      </c>
      <c r="H142" s="6">
        <v>1360.06</v>
      </c>
      <c r="I142" s="7" t="s">
        <v>219</v>
      </c>
      <c r="J142" s="10" t="s">
        <v>220</v>
      </c>
      <c r="K142" t="str">
        <f>HYPERLINK("http://www8.mpce.mp.br/Empenhos/150001/NE/2024NE000018.pdf","2024NE000018")</f>
        <v>2024NE000018</v>
      </c>
      <c r="L142">
        <v>450</v>
      </c>
      <c r="M142" t="s">
        <v>101</v>
      </c>
      <c r="N142">
        <v>7852676000152</v>
      </c>
    </row>
    <row r="143" spans="1:14" ht="38.25" x14ac:dyDescent="0.25">
      <c r="A143" s="12" t="s">
        <v>34</v>
      </c>
      <c r="B143" s="2" t="s">
        <v>286</v>
      </c>
      <c r="C143" s="3" t="str">
        <f>HYPERLINK("http://www8.mpce.mp.br/Dispensa/0013520168.pdf","00135/2016-8")</f>
        <v>00135/2016-8</v>
      </c>
      <c r="D143" s="4">
        <v>45343</v>
      </c>
      <c r="E143" s="16" t="str">
        <f>HYPERLINK("https://www8.mpce.mp.br/Empenhos/150001/Objeto/09-2016.pdf","LOCAÇÃO DE IMÓVEIS ONDE FUNCIONAM AS PROMOTORIAS DE JUSTIÇA DE CANINDÉ, CONTRATO 009/2016/PGJ REFERENTE AOS MESES DE FEV E MARÇO DE 2024.")</f>
        <v>LOCAÇÃO DE IMÓVEIS ONDE FUNCIONAM AS PROMOTORIAS DE JUSTIÇA DE CANINDÉ, CONTRATO 009/2016/PGJ REFERENTE AOS MESES DE FEV E MARÇO DE 2024.</v>
      </c>
      <c r="F143" s="2" t="s">
        <v>161</v>
      </c>
      <c r="G143" s="5" t="str">
        <f>HYPERLINK("http://www8.mpce.mp.br/Empenhos/150501/NE/2024NE000180.pdf","2024NE000180")</f>
        <v>2024NE000180</v>
      </c>
      <c r="H143" s="6">
        <v>3371.64</v>
      </c>
      <c r="I143" s="7" t="s">
        <v>199</v>
      </c>
      <c r="J143" s="10" t="s">
        <v>200</v>
      </c>
      <c r="K143" t="str">
        <f>HYPERLINK("http://www8.mpce.mp.br/Empenhos/150001/NE/2024NE000019.pdf","2024NE000019")</f>
        <v>2024NE000019</v>
      </c>
      <c r="L143" s="13">
        <v>135000</v>
      </c>
      <c r="M143" t="s">
        <v>104</v>
      </c>
      <c r="N143">
        <v>7040108000157</v>
      </c>
    </row>
    <row r="144" spans="1:14" ht="51" x14ac:dyDescent="0.25">
      <c r="A144" s="12" t="s">
        <v>34</v>
      </c>
      <c r="B144" s="2" t="s">
        <v>131</v>
      </c>
      <c r="C144" s="3" t="str">
        <f>HYPERLINK("https://transparencia-area-fim.mpce.mp.br/#/consulta/processo/pastadigital/092021000244582","09.2021.00024458-2")</f>
        <v>09.2021.00024458-2</v>
      </c>
      <c r="D144" s="4">
        <v>45343</v>
      </c>
      <c r="E144" s="16" t="str">
        <f>HYPERLINK("https://www8.mpce.mp.br/Empenhos/150001/Objeto/11-2022.pdf","LOCAÇÃO DE IMÓVEIS ONDE FUNCIONAM AS PROMOTORIAS DE JUSTIÇA DE ARACATI, CONFORME CONTRATO 011/2022/PGJ RELATIVOS AS COMPETÊNCIAS DE FEVEREIRO E MARÇO DE 2024 - POR ESTIMATIVA.")</f>
        <v>LOCAÇÃO DE IMÓVEIS ONDE FUNCIONAM AS PROMOTORIAS DE JUSTIÇA DE ARACATI, CONFORME CONTRATO 011/2022/PGJ RELATIVOS AS COMPETÊNCIAS DE FEVEREIRO E MARÇO DE 2024 - POR ESTIMATIVA.</v>
      </c>
      <c r="F144" s="2" t="s">
        <v>116</v>
      </c>
      <c r="G144" s="5" t="str">
        <f>HYPERLINK("http://www8.mpce.mp.br/Empenhos/150501/NE/2024NE000181.pdf","2024NE000181")</f>
        <v>2024NE000181</v>
      </c>
      <c r="H144" s="6">
        <v>36930</v>
      </c>
      <c r="I144" s="7" t="s">
        <v>171</v>
      </c>
      <c r="J144" s="10" t="s">
        <v>172</v>
      </c>
      <c r="K144" t="str">
        <f>HYPERLINK("http://www8.mpce.mp.br/Empenhos/150001/NE/2024NE000020.pdf","2024NE000020")</f>
        <v>2024NE000020</v>
      </c>
      <c r="L144">
        <v>450</v>
      </c>
      <c r="M144" t="s">
        <v>107</v>
      </c>
      <c r="N144">
        <v>45898856000164</v>
      </c>
    </row>
    <row r="145" spans="1:14" ht="38.25" x14ac:dyDescent="0.25">
      <c r="A145" s="12" t="s">
        <v>34</v>
      </c>
      <c r="B145" s="2" t="s">
        <v>287</v>
      </c>
      <c r="C145" s="3" t="str">
        <f>HYPERLINK("http://www8.mpce.mp.br/Dispensa/1320920133.pdf","13209/2013-3")</f>
        <v>13209/2013-3</v>
      </c>
      <c r="D145" s="4">
        <v>45343</v>
      </c>
      <c r="E145" s="16" t="str">
        <f>HYPERLINK("https://www8.mpce.mp.br/Empenhos/150001/Objeto/43-2013.pdf","EMPENHO DE LOCAÇÃO DE IMÓVEL DAS PROMOTORIAS DE MORADA NOVA-CE REF MÊS DE FEV E MAÇO/2024., CONFORME CONTRATO 43/2013.")</f>
        <v>EMPENHO DE LOCAÇÃO DE IMÓVEL DAS PROMOTORIAS DE MORADA NOVA-CE REF MÊS DE FEV E MAÇO/2024., CONFORME CONTRATO 43/2013.</v>
      </c>
      <c r="F145" s="2" t="s">
        <v>161</v>
      </c>
      <c r="G145" s="5" t="str">
        <f>HYPERLINK("http://www8.mpce.mp.br/Empenhos/150501/NE/2024NE000182.pdf","2024NE000182")</f>
        <v>2024NE000182</v>
      </c>
      <c r="H145" s="6">
        <v>16300.56</v>
      </c>
      <c r="I145" s="7" t="s">
        <v>177</v>
      </c>
      <c r="J145" s="10" t="s">
        <v>178</v>
      </c>
      <c r="K145" t="str">
        <f>HYPERLINK("http://www8.mpce.mp.br/Empenhos/150501/NE/2024NE000021.pdf","2024NE000021")</f>
        <v>2024NE000021</v>
      </c>
      <c r="L145" s="13">
        <v>38594.5</v>
      </c>
      <c r="M145" t="s">
        <v>110</v>
      </c>
      <c r="N145">
        <v>7955535000165</v>
      </c>
    </row>
    <row r="146" spans="1:14" ht="63.75" x14ac:dyDescent="0.25">
      <c r="A146" s="12" t="s">
        <v>34</v>
      </c>
      <c r="B146" s="2" t="s">
        <v>131</v>
      </c>
      <c r="C146" s="3" t="str">
        <f>HYPERLINK("http://www8.mpce.mp.br/Dispensa/4572720144.pdf","45727/2014-4")</f>
        <v>45727/2014-4</v>
      </c>
      <c r="D146" s="4">
        <v>45343</v>
      </c>
      <c r="E146" s="16" t="str">
        <f>HYPERLINK("https://www8.mpce.mp.br/Empenhos/150001/Objeto/01-2015.pdf","EMPENHO DE TAXAS CONDOMINIAIS DAS PROMOTORIAS DE JUSTIÇA DE JUAZEIRO DO NORTE (ED. CENTRAL PARK COMERCIAL, SALAS 1201 A 1218) - CONTRATO 001/2015/PGJ, REFERENTE AOS MESES DE JAN, FEV E MAR/2024 - POR ESTIMATIVA")</f>
        <v>EMPENHO DE TAXAS CONDOMINIAIS DAS PROMOTORIAS DE JUSTIÇA DE JUAZEIRO DO NORTE (ED. CENTRAL PARK COMERCIAL, SALAS 1201 A 1218) - CONTRATO 001/2015/PGJ, REFERENTE AOS MESES DE JAN, FEV E MAR/2024 - POR ESTIMATIVA</v>
      </c>
      <c r="F146" s="2" t="s">
        <v>231</v>
      </c>
      <c r="G146" s="5" t="str">
        <f>HYPERLINK("http://www8.mpce.mp.br/Empenhos/150501/NE/2024NE000183.pdf","2024NE000183")</f>
        <v>2024NE000183</v>
      </c>
      <c r="H146" s="6">
        <v>16740</v>
      </c>
      <c r="I146" s="7" t="s">
        <v>215</v>
      </c>
      <c r="J146" s="10" t="s">
        <v>216</v>
      </c>
      <c r="K146" t="str">
        <f>HYPERLINK("http://www8.mpce.mp.br/Empenhos/150501/NE/2024NE000026.pdf","2024NE000026")</f>
        <v>2024NE000026</v>
      </c>
      <c r="L146" s="13">
        <v>186951</v>
      </c>
      <c r="M146" t="s">
        <v>113</v>
      </c>
      <c r="N146">
        <v>2593165000140</v>
      </c>
    </row>
    <row r="147" spans="1:14" ht="51" x14ac:dyDescent="0.25">
      <c r="A147" s="12" t="s">
        <v>34</v>
      </c>
      <c r="B147" s="2" t="s">
        <v>288</v>
      </c>
      <c r="C147" s="3" t="str">
        <f>HYPERLINK("http://www8.mpce.mp.br/Dispensa/2150720189.pdf","21507/2018-9")</f>
        <v>21507/2018-9</v>
      </c>
      <c r="D147" s="4">
        <v>45343</v>
      </c>
      <c r="E147" s="16" t="str">
        <f>HYPERLINK("https://www8.mpce.mp.br/Empenhos/150001/Objeto/51-2019.pdf","EMPENHO DE LOCAÇÃO DE IMÓVEIS ONDE FUNCIONAM AS PROMOTORIAS DE JUSTIÇA DE VIÇOSA DO CEARÁ, CONTRATO 051/2019/PGJ REFERENTE AOS MESES DE FEV E MARÇO DE 2024.")</f>
        <v>EMPENHO DE LOCAÇÃO DE IMÓVEIS ONDE FUNCIONAM AS PROMOTORIAS DE JUSTIÇA DE VIÇOSA DO CEARÁ, CONTRATO 051/2019/PGJ REFERENTE AOS MESES DE FEV E MARÇO DE 2024.</v>
      </c>
      <c r="F147" s="2" t="s">
        <v>161</v>
      </c>
      <c r="G147" s="5" t="str">
        <f>HYPERLINK("http://www8.mpce.mp.br/Empenhos/150501/NE/2024NE000184.pdf","2024NE000184")</f>
        <v>2024NE000184</v>
      </c>
      <c r="H147" s="6">
        <v>5871.42</v>
      </c>
      <c r="I147" s="7" t="s">
        <v>179</v>
      </c>
      <c r="J147" s="10" t="s">
        <v>180</v>
      </c>
      <c r="K147" t="str">
        <f>HYPERLINK("http://www8.mpce.mp.br/Empenhos/150501/NE/2024NE000032.pdf","2024NE000032")</f>
        <v>2024NE000032</v>
      </c>
      <c r="L147" s="13">
        <v>2100</v>
      </c>
      <c r="M147" t="s">
        <v>117</v>
      </c>
      <c r="N147">
        <v>7192669000171</v>
      </c>
    </row>
    <row r="148" spans="1:14" ht="38.25" x14ac:dyDescent="0.25">
      <c r="A148" s="12" t="s">
        <v>34</v>
      </c>
      <c r="B148" s="2" t="s">
        <v>289</v>
      </c>
      <c r="C148" s="3" t="str">
        <f>HYPERLINK("https://transparencia-area-fim.mpce.mp.br/#/consulta/processo/pastadigital/092021000244550","09.2021.00024455-0")</f>
        <v>09.2021.00024455-0</v>
      </c>
      <c r="D148" s="4">
        <v>45343</v>
      </c>
      <c r="E148" s="16" t="str">
        <f>HYPERLINK("https://www8.mpce.mp.br/Empenhos/150001/Objeto/10-2022.pdf","EMPENHO DE ALUGUEL DO IMÓVEL ONDE FUNCIONAM AS PROMOTORIAS DE ICÓ-CE REF MESES DE FEV E MARÇO CONFORME CONTRATO 010/2022.")</f>
        <v>EMPENHO DE ALUGUEL DO IMÓVEL ONDE FUNCIONAM AS PROMOTORIAS DE ICÓ-CE REF MESES DE FEV E MARÇO CONFORME CONTRATO 010/2022.</v>
      </c>
      <c r="F148" s="2" t="s">
        <v>161</v>
      </c>
      <c r="G148" s="5" t="str">
        <f>HYPERLINK("http://www8.mpce.mp.br/Empenhos/150501/NE/2024NE000185.pdf","2024NE000185")</f>
        <v>2024NE000185</v>
      </c>
      <c r="H148" s="6">
        <v>26973</v>
      </c>
      <c r="I148" s="7" t="s">
        <v>217</v>
      </c>
      <c r="J148" s="10" t="s">
        <v>218</v>
      </c>
      <c r="K148" t="str">
        <f>HYPERLINK("http://www8.mpce.mp.br/Empenhos/150501/NE/2024NE000033.pdf","2024NE000033")</f>
        <v>2024NE000033</v>
      </c>
      <c r="L148" s="13">
        <v>107369.1</v>
      </c>
      <c r="M148" t="s">
        <v>120</v>
      </c>
      <c r="N148">
        <v>41548652000142</v>
      </c>
    </row>
    <row r="149" spans="1:14" ht="51" x14ac:dyDescent="0.25">
      <c r="A149" s="12" t="s">
        <v>34</v>
      </c>
      <c r="B149" s="2" t="s">
        <v>290</v>
      </c>
      <c r="C149" s="3" t="str">
        <f>HYPERLINK("http://www8.mpce.mp.br/Dispensa/2398120192.pdf","23981/2019-2")</f>
        <v>23981/2019-2</v>
      </c>
      <c r="D149" s="4">
        <v>45343</v>
      </c>
      <c r="E149" s="16" t="str">
        <f>HYPERLINK("https://www8.mpce.mp.br/Empenhos/150001/Objeto/63-2019.pdf","EMPENHO DE LOCAÇÃO DE IMÓVEIS ONDE FUNCIONAM AS PROMOTORIAS DE JUSTIÇA DE JUAZEIRO DO NORTE, CONTRATO 063/2019/PGJ REFERENTE AOS MESES DE FEV E MARÇO DE 2024.")</f>
        <v>EMPENHO DE LOCAÇÃO DE IMÓVEIS ONDE FUNCIONAM AS PROMOTORIAS DE JUSTIÇA DE JUAZEIRO DO NORTE, CONTRATO 063/2019/PGJ REFERENTE AOS MESES DE FEV E MARÇO DE 2024.</v>
      </c>
      <c r="F149" s="2" t="s">
        <v>161</v>
      </c>
      <c r="G149" s="5" t="str">
        <f>HYPERLINK("http://www8.mpce.mp.br/Empenhos/150501/NE/2024NE000186.pdf","2024NE000186")</f>
        <v>2024NE000186</v>
      </c>
      <c r="H149" s="6">
        <v>2130.3200000000002</v>
      </c>
      <c r="I149" s="7" t="s">
        <v>166</v>
      </c>
      <c r="J149" s="10" t="s">
        <v>167</v>
      </c>
      <c r="K149" t="str">
        <f>HYPERLINK("http://www8.mpce.mp.br/Empenhos/150501/NE/2024NE000034.pdf","2024NE000034")</f>
        <v>2024NE000034</v>
      </c>
      <c r="L149" s="13">
        <v>5600</v>
      </c>
      <c r="M149" t="s">
        <v>123</v>
      </c>
      <c r="N149">
        <v>12255352000177</v>
      </c>
    </row>
    <row r="150" spans="1:14" ht="38.25" x14ac:dyDescent="0.25">
      <c r="A150" s="12" t="s">
        <v>34</v>
      </c>
      <c r="B150" s="2" t="s">
        <v>131</v>
      </c>
      <c r="C150" s="3" t="str">
        <f>HYPERLINK("http://www8.mpce.mp.br/Dispensa/1291020194.pdf","12910/2019-4")</f>
        <v>12910/2019-4</v>
      </c>
      <c r="D150" s="4">
        <v>45343</v>
      </c>
      <c r="E150" s="16" t="str">
        <f>HYPERLINK("https://www8.mpce.mp.br/Empenhos/150001/Objeto/39-2019.pdf","LOCAÇÃO DE IMÓVEIS ONDE FUNCIONAM AS PROMOTORIAS DA INFÂNCIA E JUVENTUDE, CONTRATO 039/2019/PGJ REFERENTE AO MES DE FEV E MAR/2024 - POR ESTIMATIVA")</f>
        <v>LOCAÇÃO DE IMÓVEIS ONDE FUNCIONAM AS PROMOTORIAS DA INFÂNCIA E JUVENTUDE, CONTRATO 039/2019/PGJ REFERENTE AO MES DE FEV E MAR/2024 - POR ESTIMATIVA</v>
      </c>
      <c r="F150" s="2" t="s">
        <v>116</v>
      </c>
      <c r="G150" s="5" t="str">
        <f>HYPERLINK("http://www8.mpce.mp.br/Empenhos/150501/NE/2024NE000187.pdf","2024NE000187")</f>
        <v>2024NE000187</v>
      </c>
      <c r="H150" s="6">
        <v>8856.06</v>
      </c>
      <c r="I150" s="7" t="s">
        <v>148</v>
      </c>
      <c r="J150" s="10" t="s">
        <v>149</v>
      </c>
      <c r="K150" t="str">
        <f>HYPERLINK("http://www8.mpce.mp.br/Empenhos/150501/NE/2024NE000036.pdf","2024NE000036")</f>
        <v>2024NE000036</v>
      </c>
      <c r="L150" s="13">
        <v>114746.91</v>
      </c>
      <c r="M150" t="s">
        <v>126</v>
      </c>
      <c r="N150">
        <v>20657685000150</v>
      </c>
    </row>
    <row r="151" spans="1:14" ht="51" x14ac:dyDescent="0.25">
      <c r="A151" s="12" t="s">
        <v>34</v>
      </c>
      <c r="B151" s="2" t="s">
        <v>291</v>
      </c>
      <c r="C151" s="3" t="str">
        <f>HYPERLINK("http://www8.mpce.mp.br/Dispensa/2330020195.pdf","23300/2019-5")</f>
        <v>23300/2019-5</v>
      </c>
      <c r="D151" s="4">
        <v>45343</v>
      </c>
      <c r="E151" s="16" t="str">
        <f>HYPERLINK("https://www8.mpce.mp.br/Empenhos/150001/Objeto/61-2019.pdf","EMPENHO DE LOCAÇÃO DE IMÓVEIS ONDE FUNCIONAM AS PROMOTORIAS DE JUSTIÇA DE ACARAÚ, CONTRATO 061/2019/PGJ REFERENTE AOS MESES DE FEV E MARÇO DE 2024.")</f>
        <v>EMPENHO DE LOCAÇÃO DE IMÓVEIS ONDE FUNCIONAM AS PROMOTORIAS DE JUSTIÇA DE ACARAÚ, CONTRATO 061/2019/PGJ REFERENTE AOS MESES DE FEV E MARÇO DE 2024.</v>
      </c>
      <c r="F151" s="2" t="s">
        <v>161</v>
      </c>
      <c r="G151" s="5" t="str">
        <f>HYPERLINK("http://www8.mpce.mp.br/Empenhos/150501/NE/2024NE000188.pdf","2024NE000188")</f>
        <v>2024NE000188</v>
      </c>
      <c r="H151" s="6">
        <v>2800</v>
      </c>
      <c r="I151" s="7" t="s">
        <v>173</v>
      </c>
      <c r="J151" s="10" t="s">
        <v>174</v>
      </c>
      <c r="K151" t="str">
        <f>HYPERLINK("http://www8.mpce.mp.br/Empenhos/150501/NE/2024NE000037.pdf","2024NE000037")</f>
        <v>2024NE000037</v>
      </c>
      <c r="L151" s="13">
        <v>14180</v>
      </c>
      <c r="M151" t="s">
        <v>129</v>
      </c>
      <c r="N151">
        <v>32697604000125</v>
      </c>
    </row>
    <row r="152" spans="1:14" ht="51" x14ac:dyDescent="0.25">
      <c r="A152" s="12" t="s">
        <v>34</v>
      </c>
      <c r="B152" s="2" t="s">
        <v>292</v>
      </c>
      <c r="C152" s="3" t="str">
        <f>HYPERLINK("http://www8.mpce.mp.br/Dispensa/4503020176.pdf","45030/2017-6")</f>
        <v>45030/2017-6</v>
      </c>
      <c r="D152" s="4">
        <v>45343</v>
      </c>
      <c r="E152" s="16" t="str">
        <f>HYPERLINK("https://www8.mpce.mp.br/Empenhos/150001/Objeto/74-2019.pdf","EMPENHO DE LOCAÇÃO DE IMÓVEL ONDE FUNCIONA A PROMOTORIA DE JUSTIÇA DE GRANJA-CE, REFERENTE AO CONTRATO 074/2019 E RELATIVO AOS MESES DE FEV E MARÇO DE 2024.")</f>
        <v>EMPENHO DE LOCAÇÃO DE IMÓVEL ONDE FUNCIONA A PROMOTORIA DE JUSTIÇA DE GRANJA-CE, REFERENTE AO CONTRATO 074/2019 E RELATIVO AOS MESES DE FEV E MARÇO DE 2024.</v>
      </c>
      <c r="F152" s="2" t="s">
        <v>161</v>
      </c>
      <c r="G152" s="5" t="str">
        <f>HYPERLINK("http://www8.mpce.mp.br/Empenhos/150501/NE/2024NE000189.pdf","2024NE000189")</f>
        <v>2024NE000189</v>
      </c>
      <c r="H152" s="6">
        <v>4376.0200000000004</v>
      </c>
      <c r="I152" s="7" t="s">
        <v>236</v>
      </c>
      <c r="J152" s="10" t="s">
        <v>237</v>
      </c>
      <c r="K152" t="str">
        <f>HYPERLINK("http://www8.mpce.mp.br/Empenhos/150501/NE/2024NE000038.pdf","2024NE000038")</f>
        <v>2024NE000038</v>
      </c>
      <c r="L152" s="13">
        <v>20900</v>
      </c>
      <c r="M152" t="s">
        <v>129</v>
      </c>
      <c r="N152">
        <v>32697604000125</v>
      </c>
    </row>
    <row r="153" spans="1:14" ht="51" x14ac:dyDescent="0.25">
      <c r="A153" s="12" t="s">
        <v>34</v>
      </c>
      <c r="B153" s="2" t="s">
        <v>293</v>
      </c>
      <c r="C153" s="3" t="str">
        <f>HYPERLINK("http://www8.mpce.mp.br/Dispensa/1955220197.pdf","19552/2019-7")</f>
        <v>19552/2019-7</v>
      </c>
      <c r="D153" s="4">
        <v>45343</v>
      </c>
      <c r="E153" s="16" t="str">
        <f>HYPERLINK("https://www8.mpce.mp.br/Empenhos/150001/Objeto/85-2019.pdf","EMPENHO DE LOCAÇÃO DE IMÓVEL ONDE FUNCIONA AS PROMOTORIAS DE JUSTIÇA DE PARAIPABA REFERENTE AOS MESES DE FEV E MARÇO/2024, CONFORME CONTRATO 85/2019")</f>
        <v>EMPENHO DE LOCAÇÃO DE IMÓVEL ONDE FUNCIONA AS PROMOTORIAS DE JUSTIÇA DE PARAIPABA REFERENTE AOS MESES DE FEV E MARÇO/2024, CONFORME CONTRATO 85/2019</v>
      </c>
      <c r="F153" s="2" t="s">
        <v>161</v>
      </c>
      <c r="G153" s="5" t="str">
        <f>HYPERLINK("http://www8.mpce.mp.br/Empenhos/150501/NE/2024NE000190.pdf","2024NE000190")</f>
        <v>2024NE000190</v>
      </c>
      <c r="H153" s="6">
        <v>2613.4</v>
      </c>
      <c r="I153" s="7" t="s">
        <v>186</v>
      </c>
      <c r="J153" s="10" t="s">
        <v>187</v>
      </c>
      <c r="K153" t="str">
        <f>HYPERLINK("http://www8.mpce.mp.br/Empenhos/150501/NE/2024NE000039.pdf","2024NE000039")</f>
        <v>2024NE000039</v>
      </c>
      <c r="L153" s="13">
        <v>16434.259999999998</v>
      </c>
      <c r="M153" t="s">
        <v>132</v>
      </c>
      <c r="N153">
        <v>11710431000168</v>
      </c>
    </row>
    <row r="154" spans="1:14" ht="38.25" x14ac:dyDescent="0.25">
      <c r="A154" s="12" t="s">
        <v>34</v>
      </c>
      <c r="B154" s="2" t="s">
        <v>298</v>
      </c>
      <c r="C154" s="3" t="str">
        <f>HYPERLINK("https://transparencia-area-fim.mpce.mp.br/#/consulta/processo/pastadigital/092021000121226","09.2021.00012122-6")</f>
        <v>09.2021.00012122-6</v>
      </c>
      <c r="D154" s="4">
        <v>45343</v>
      </c>
      <c r="E154" s="16" t="str">
        <f>HYPERLINK("https://www8.mpce.mp.br/Empenhos/150001/Objeto/34-2021.pdf","LOCAÇÃO DE IMÓVEIS ONDE FUNCIONAM AS PROMOTORIAS DE JUSTIÇA DE SÃO BENEDITO, CONTRATO 034/2021/PGJ REFERENTE AOS MESES DE FEV E MARÇO DE 2024.")</f>
        <v>LOCAÇÃO DE IMÓVEIS ONDE FUNCIONAM AS PROMOTORIAS DE JUSTIÇA DE SÃO BENEDITO, CONTRATO 034/2021/PGJ REFERENTE AOS MESES DE FEV E MARÇO DE 2024.</v>
      </c>
      <c r="F154" s="2" t="s">
        <v>161</v>
      </c>
      <c r="G154" s="5" t="str">
        <f>HYPERLINK("http://www8.mpce.mp.br/Empenhos/150501/NE/2024NE000191.pdf","2024NE000191")</f>
        <v>2024NE000191</v>
      </c>
      <c r="H154" s="6">
        <v>5646.54</v>
      </c>
      <c r="I154" s="7" t="s">
        <v>193</v>
      </c>
      <c r="J154" s="10" t="s">
        <v>194</v>
      </c>
      <c r="K154" t="str">
        <f>HYPERLINK("http://www8.mpce.mp.br/Empenhos/150501/NE/2024NE000041.pdf","2024NE000041")</f>
        <v>2024NE000041</v>
      </c>
      <c r="L154" s="13">
        <v>26000.1</v>
      </c>
      <c r="M154" t="s">
        <v>134</v>
      </c>
      <c r="N154">
        <v>44114554000195</v>
      </c>
    </row>
    <row r="155" spans="1:14" ht="38.25" x14ac:dyDescent="0.25">
      <c r="A155" s="12" t="s">
        <v>34</v>
      </c>
      <c r="B155" s="2" t="s">
        <v>294</v>
      </c>
      <c r="C155" s="3" t="str">
        <f>HYPERLINK("https://transparencia-area-fim.mpce.mp.br/#/consulta/processo/pastadigital/092024000041037","09.2024.00004103-7")</f>
        <v>09.2024.00004103-7</v>
      </c>
      <c r="D155" s="4">
        <v>45337</v>
      </c>
      <c r="E155" s="16" t="s">
        <v>295</v>
      </c>
      <c r="F155" s="2" t="s">
        <v>296</v>
      </c>
      <c r="G155" s="5" t="str">
        <f>HYPERLINK("http://www8.mpce.mp.br/Empenhos/150001/NE/2024NE000191.pdf","2024NE000191")</f>
        <v>2024NE000191</v>
      </c>
      <c r="H155" s="6">
        <v>937500</v>
      </c>
      <c r="I155" s="7" t="s">
        <v>297</v>
      </c>
      <c r="J155" s="10" t="s">
        <v>832</v>
      </c>
      <c r="K155" t="str">
        <f>HYPERLINK("http://www8.mpce.mp.br/Empenhos/150001/NE/2024NE000042.pdf","2024NE000042")</f>
        <v>2024NE000042</v>
      </c>
      <c r="L155" s="13">
        <v>2850</v>
      </c>
      <c r="M155" t="s">
        <v>138</v>
      </c>
      <c r="N155">
        <v>90347840001190</v>
      </c>
    </row>
    <row r="156" spans="1:14" ht="38.25" x14ac:dyDescent="0.25">
      <c r="A156" s="12" t="s">
        <v>34</v>
      </c>
      <c r="B156" s="2" t="s">
        <v>299</v>
      </c>
      <c r="C156" s="3" t="str">
        <f>HYPERLINK("http://www8.mpce.mp.br/Dispensa/3642820165.pdf","36428/2016-5")</f>
        <v>36428/2016-5</v>
      </c>
      <c r="D156" s="4">
        <v>45343</v>
      </c>
      <c r="E156" s="16" t="str">
        <f>HYPERLINK("https://www8.mpce.mp.br/Empenhos/150001/Objeto/26-2017.pdf","LOCAÇÃO DE IMÓVEIS ONDE FUNCIONAM AS PROMOTORIAS DE JUSTIÇA DE MARANGUAPE, CONTRATO 026/2017/PGJ REFERENTE AOS MESES DE FEV E MARÇO DE 2024.")</f>
        <v>LOCAÇÃO DE IMÓVEIS ONDE FUNCIONAM AS PROMOTORIAS DE JUSTIÇA DE MARANGUAPE, CONTRATO 026/2017/PGJ REFERENTE AOS MESES DE FEV E MARÇO DE 2024.</v>
      </c>
      <c r="F156" s="2" t="s">
        <v>161</v>
      </c>
      <c r="G156" s="5" t="str">
        <f>HYPERLINK("http://www8.mpce.mp.br/Empenhos/150501/NE/2024NE000192.pdf","2024NE000192")</f>
        <v>2024NE000192</v>
      </c>
      <c r="H156" s="6">
        <v>9655.16</v>
      </c>
      <c r="I156" s="7" t="s">
        <v>205</v>
      </c>
      <c r="J156" s="10" t="s">
        <v>206</v>
      </c>
      <c r="K156" t="str">
        <f>HYPERLINK("http://www8.mpce.mp.br/Empenhos/150501/NE/2024NE000044.pdf","2024NE000044")</f>
        <v>2024NE000044</v>
      </c>
      <c r="L156" s="13">
        <v>1431.35</v>
      </c>
      <c r="M156" t="s">
        <v>140</v>
      </c>
      <c r="N156">
        <v>15473585000134</v>
      </c>
    </row>
    <row r="157" spans="1:14" ht="51" x14ac:dyDescent="0.25">
      <c r="A157" s="12" t="s">
        <v>34</v>
      </c>
      <c r="B157" s="2" t="s">
        <v>300</v>
      </c>
      <c r="C157" s="3" t="str">
        <f>HYPERLINK("https://transparencia-area-fim.mpce.mp.br/#/consulta/processo/pastadigital/092022000110511","09.2022.00011051-1")</f>
        <v>09.2022.00011051-1</v>
      </c>
      <c r="D157" s="4">
        <v>45343</v>
      </c>
      <c r="E157" s="16" t="str">
        <f>HYPERLINK("https://www8.mpce.mp.br/Empenhos/150001/Objeto/38-2022.pdf","LOCAÇÃO DE IMÓVEL ONDE FUNCIONAM AS PROMOTORIAS DE NOVA OLINDA, CONFORME CONTRATO 038/2022,REFERENTE AOS MESES DE FEV E MARÇO DE 2024.")</f>
        <v>LOCAÇÃO DE IMÓVEL ONDE FUNCIONAM AS PROMOTORIAS DE NOVA OLINDA, CONFORME CONTRATO 038/2022,REFERENTE AOS MESES DE FEV E MARÇO DE 2024.</v>
      </c>
      <c r="F157" s="2" t="s">
        <v>161</v>
      </c>
      <c r="G157" s="5" t="str">
        <f>HYPERLINK("http://www8.mpce.mp.br/Empenhos/150501/NE/2024NE000193.pdf","2024NE000193")</f>
        <v>2024NE000193</v>
      </c>
      <c r="H157" s="6">
        <v>4000</v>
      </c>
      <c r="I157" s="7" t="s">
        <v>229</v>
      </c>
      <c r="J157" s="10" t="s">
        <v>230</v>
      </c>
      <c r="K157" t="str">
        <f>HYPERLINK("http://www8.mpce.mp.br/Empenhos/150501/NE/2024NE000046.pdf","2024NE000046")</f>
        <v>2024NE000046</v>
      </c>
      <c r="L157" s="13">
        <v>61958.53</v>
      </c>
      <c r="M157" t="s">
        <v>142</v>
      </c>
      <c r="N157">
        <v>8744388000147</v>
      </c>
    </row>
    <row r="158" spans="1:14" ht="38.25" x14ac:dyDescent="0.25">
      <c r="A158" s="12" t="s">
        <v>9</v>
      </c>
      <c r="B158" s="2" t="s">
        <v>301</v>
      </c>
      <c r="C158" s="3" t="str">
        <f>HYPERLINK("https://transparencia-area-fim.mpce.mp.br/#/consulta/processo/pastadigital/092022000083885","09.2022.00008388-5")</f>
        <v>09.2022.00008388-5</v>
      </c>
      <c r="D158" s="4">
        <v>45343</v>
      </c>
      <c r="E158" s="16" t="str">
        <f>HYPERLINK("https://www8.mpce.mp.br/Empenhos/150001/Objeto/36-2023.pdf","LOCAÇÃO DE IMÓVEIS ONDE FUNCIONAM AS PROMOTORIAS DE JUSTIÇA DE SOLONÓPOLE, CONTRATO 036/2023/PGJ REFERENTE AOS MESES DE FEV E MARÇO DE 2024.")</f>
        <v>LOCAÇÃO DE IMÓVEIS ONDE FUNCIONAM AS PROMOTORIAS DE JUSTIÇA DE SOLONÓPOLE, CONTRATO 036/2023/PGJ REFERENTE AOS MESES DE FEV E MARÇO DE 2024.</v>
      </c>
      <c r="F158" s="2" t="s">
        <v>161</v>
      </c>
      <c r="G158" s="5" t="str">
        <f>HYPERLINK("http://www8.mpce.mp.br/Empenhos/150501/NE/2024NE000194.pdf","2024NE000194")</f>
        <v>2024NE000194</v>
      </c>
      <c r="H158" s="6">
        <v>7794.48</v>
      </c>
      <c r="I158" s="7" t="s">
        <v>188</v>
      </c>
      <c r="J158" s="10" t="s">
        <v>189</v>
      </c>
      <c r="K158" t="str">
        <f>HYPERLINK("http://www8.mpce.mp.br/Empenhos/150501/NE/2024NE000047.pdf","2024NE000047")</f>
        <v>2024NE000047</v>
      </c>
      <c r="L158" s="13">
        <v>5546.1</v>
      </c>
      <c r="M158" t="s">
        <v>144</v>
      </c>
      <c r="N158">
        <v>22588967000179</v>
      </c>
    </row>
    <row r="159" spans="1:14" ht="51" x14ac:dyDescent="0.25">
      <c r="A159" s="12" t="s">
        <v>9</v>
      </c>
      <c r="B159" s="2" t="s">
        <v>302</v>
      </c>
      <c r="C159" s="3" t="str">
        <f>HYPERLINK("https://transparencia-area-fim.mpce.mp.br/#/consulta/processo/pastadigital/092022000409094","09.2022.00040909-4")</f>
        <v>09.2022.00040909-4</v>
      </c>
      <c r="D159" s="4">
        <v>45343</v>
      </c>
      <c r="E159" s="16" t="str">
        <f>HYPERLINK("https://www8.mpce.mp.br/Empenhos/150001/Objeto/41-2023.pdf","LOCAÇÃO DE IMÓVEIS ONDE FUNCIONAM AS PROMOTORIAS DE JUSTIÇA DE GUARACIABA DO NORTE, CONTRATO 041/2023/PGJ REFERENTE AOS MESES DE FEV E MARÇO DE 2024.")</f>
        <v>LOCAÇÃO DE IMÓVEIS ONDE FUNCIONAM AS PROMOTORIAS DE JUSTIÇA DE GUARACIABA DO NORTE, CONTRATO 041/2023/PGJ REFERENTE AOS MESES DE FEV E MARÇO DE 2024.</v>
      </c>
      <c r="F159" s="2" t="s">
        <v>161</v>
      </c>
      <c r="G159" s="5" t="str">
        <f>HYPERLINK("http://www8.mpce.mp.br/Empenhos/150501/NE/2024NE000195.pdf","2024NE000195")</f>
        <v>2024NE000195</v>
      </c>
      <c r="H159" s="6">
        <v>3100</v>
      </c>
      <c r="I159" s="7" t="s">
        <v>184</v>
      </c>
      <c r="J159" s="10" t="s">
        <v>185</v>
      </c>
      <c r="K159" t="str">
        <f>HYPERLINK("http://www8.mpce.mp.br/Empenhos/150501/NE/2024NE000048.pdf","2024NE000048")</f>
        <v>2024NE000048</v>
      </c>
      <c r="L159" s="13">
        <v>33400.11</v>
      </c>
      <c r="M159" t="s">
        <v>134</v>
      </c>
      <c r="N159">
        <v>44114554000195</v>
      </c>
    </row>
    <row r="160" spans="1:14" ht="38.25" x14ac:dyDescent="0.25">
      <c r="A160" s="12" t="s">
        <v>34</v>
      </c>
      <c r="B160" s="2" t="s">
        <v>303</v>
      </c>
      <c r="C160" s="3" t="str">
        <f>HYPERLINK("https://transparencia-area-fim.mpce.mp.br/#/consulta/processo/pastadigital/092021000166790","09.2021.00016679-0")</f>
        <v>09.2021.00016679-0</v>
      </c>
      <c r="D160" s="4">
        <v>45343</v>
      </c>
      <c r="E160" s="16" t="str">
        <f>HYPERLINK("https://www8.mpce.mp.br/Empenhos/150001/Objeto/24-2022.pdf","LOCAÇÃO DE IMÓVEIS ONDE FUNCIONAM AS PROMOTORIAS DE JUSTIÇA DE HORIZONTE, CONTRATO 024/2022/PGJ REFERENTE AOS MESES DE FEV E MARÇO DE 2024.")</f>
        <v>LOCAÇÃO DE IMÓVEIS ONDE FUNCIONAM AS PROMOTORIAS DE JUSTIÇA DE HORIZONTE, CONTRATO 024/2022/PGJ REFERENTE AOS MESES DE FEV E MARÇO DE 2024.</v>
      </c>
      <c r="F160" s="2" t="s">
        <v>161</v>
      </c>
      <c r="G160" s="5" t="str">
        <f>HYPERLINK("http://www8.mpce.mp.br/Empenhos/150501/NE/2024NE000196.pdf","2024NE000196")</f>
        <v>2024NE000196</v>
      </c>
      <c r="H160" s="6">
        <v>4800</v>
      </c>
      <c r="I160" s="7" t="s">
        <v>209</v>
      </c>
      <c r="J160" s="10" t="s">
        <v>210</v>
      </c>
      <c r="K160" t="str">
        <f>HYPERLINK("http://www8.mpce.mp.br/Empenhos/150501/NE/2024NE000049.pdf","2024NE000049")</f>
        <v>2024NE000049</v>
      </c>
      <c r="L160" s="13">
        <v>18000</v>
      </c>
      <c r="M160" t="s">
        <v>146</v>
      </c>
      <c r="N160">
        <v>41456187000110</v>
      </c>
    </row>
    <row r="161" spans="1:14" ht="38.25" x14ac:dyDescent="0.25">
      <c r="A161" s="12" t="s">
        <v>34</v>
      </c>
      <c r="B161" s="2" t="s">
        <v>304</v>
      </c>
      <c r="C161" s="3" t="str">
        <f>HYPERLINK("https://transparencia-area-fim.mpce.mp.br/#/consulta/processo/pastadigital/092021000219739","09.2021.00021973-9")</f>
        <v>09.2021.00021973-9</v>
      </c>
      <c r="D161" s="4">
        <v>45344</v>
      </c>
      <c r="E161" s="16" t="str">
        <f>HYPERLINK("https://www8.mpce.mp.br/Empenhos/150001/Objeto/45-2021.pdf","LOCAÇÃO DE IMÓVEIS ONDE FUNCIONAM AS PROMOTORIAS DE JUSTIÇA DE EUSÉBIO, CONTRATO 045/2021/PGJ REFERENTE AO MES DE FEV E MAR/2024 - POR ESTIMATIVA")</f>
        <v>LOCAÇÃO DE IMÓVEIS ONDE FUNCIONAM AS PROMOTORIAS DE JUSTIÇA DE EUSÉBIO, CONTRATO 045/2021/PGJ REFERENTE AO MES DE FEV E MAR/2024 - POR ESTIMATIVA</v>
      </c>
      <c r="F161" s="2" t="s">
        <v>116</v>
      </c>
      <c r="G161" s="5" t="str">
        <f>HYPERLINK("http://www8.mpce.mp.br/Empenhos/150501/NE/2024NE000203.pdf","2024NE000203")</f>
        <v>2024NE000203</v>
      </c>
      <c r="H161" s="6">
        <v>3280.7</v>
      </c>
      <c r="I161" s="7" t="s">
        <v>144</v>
      </c>
      <c r="J161" s="10" t="s">
        <v>145</v>
      </c>
      <c r="K161" t="str">
        <f>HYPERLINK("http://www8.mpce.mp.br/Empenhos/150501/NE/2024NE000050.pdf","2024NE000050")</f>
        <v>2024NE000050</v>
      </c>
      <c r="L161" s="13">
        <v>4428.03</v>
      </c>
      <c r="M161" t="s">
        <v>148</v>
      </c>
      <c r="N161">
        <v>23889442000136</v>
      </c>
    </row>
    <row r="162" spans="1:14" ht="38.25" x14ac:dyDescent="0.25">
      <c r="A162" s="12" t="s">
        <v>34</v>
      </c>
      <c r="B162" s="2" t="s">
        <v>305</v>
      </c>
      <c r="C162" s="3" t="str">
        <f>HYPERLINK("http://www8.mpce.mp.br/Dispensa/842220170.pdf","8422/20170")</f>
        <v>8422/20170</v>
      </c>
      <c r="D162" s="4">
        <v>45344</v>
      </c>
      <c r="E162" s="16" t="str">
        <f>HYPERLINK("https://www8.mpce.mp.br/Empenhos/150001/Objeto/16-2017.pdf","EMPENHO DE TAXA MUNICIPAL DE RESÍDUOS SÓLIDOS URBANOS DAS PROMOTORIAS CRIMINAIS - TMRSU REFERENTE A 1ª PARCELA CONTRATO 016/2017")</f>
        <v>EMPENHO DE TAXA MUNICIPAL DE RESÍDUOS SÓLIDOS URBANOS DAS PROMOTORIAS CRIMINAIS - TMRSU REFERENTE A 1ª PARCELA CONTRATO 016/2017</v>
      </c>
      <c r="F162" s="2" t="s">
        <v>306</v>
      </c>
      <c r="G162" s="5" t="str">
        <f>HYPERLINK("http://www8.mpce.mp.br/Empenhos/150501/NE/2024NE000204.pdf","2024NE000204")</f>
        <v>2024NE000204</v>
      </c>
      <c r="H162" s="6">
        <v>152.4</v>
      </c>
      <c r="I162" s="7" t="s">
        <v>158</v>
      </c>
      <c r="J162" s="10" t="s">
        <v>159</v>
      </c>
      <c r="K162" t="str">
        <f>HYPERLINK("http://www8.mpce.mp.br/Empenhos/150501/NE/2024NE000051.pdf","2024NE000051")</f>
        <v>2024NE000051</v>
      </c>
      <c r="L162" s="13">
        <v>18900</v>
      </c>
      <c r="M162" t="s">
        <v>129</v>
      </c>
      <c r="N162">
        <v>32697604000125</v>
      </c>
    </row>
    <row r="163" spans="1:14" ht="38.25" x14ac:dyDescent="0.25">
      <c r="A163" s="12" t="s">
        <v>34</v>
      </c>
      <c r="B163" s="2" t="s">
        <v>305</v>
      </c>
      <c r="C163" s="3" t="str">
        <f>HYPERLINK("http://www8.mpce.mp.br/Dispensa/842220170.pdf","8422/20170")</f>
        <v>8422/20170</v>
      </c>
      <c r="D163" s="4">
        <v>45344</v>
      </c>
      <c r="E163" s="16" t="str">
        <f>HYPERLINK("https://www8.mpce.mp.br/Empenhos/150001/Objeto/16-2017.pdf","EMPENHO REFERENTE A 1º PARCELA DO IPTU DAS PROMOTORIAS DE JUSTIÇA CRIMINAIS DA COMARCA DE FORTALEZA - CT 016/2017 ")</f>
        <v xml:space="preserve">EMPENHO REFERENTE A 1º PARCELA DO IPTU DAS PROMOTORIAS DE JUSTIÇA CRIMINAIS DA COMARCA DE FORTALEZA - CT 016/2017 </v>
      </c>
      <c r="F163" s="2" t="s">
        <v>252</v>
      </c>
      <c r="G163" s="5" t="str">
        <f>HYPERLINK("http://www8.mpce.mp.br/Empenhos/150501/NE/2024NE000205.pdf","2024NE000205")</f>
        <v>2024NE000205</v>
      </c>
      <c r="H163" s="6">
        <v>2619.0100000000002</v>
      </c>
      <c r="I163" s="7" t="s">
        <v>158</v>
      </c>
      <c r="J163" s="10" t="s">
        <v>159</v>
      </c>
      <c r="K163" t="str">
        <f>HYPERLINK("http://www8.mpce.mp.br/Empenhos/150501/NE/2024NE000052.pdf","2024NE000052")</f>
        <v>2024NE000052</v>
      </c>
      <c r="L163" s="13">
        <v>1640.35</v>
      </c>
      <c r="M163" t="s">
        <v>144</v>
      </c>
      <c r="N163">
        <v>22588967000179</v>
      </c>
    </row>
    <row r="164" spans="1:14" ht="63.75" x14ac:dyDescent="0.25">
      <c r="A164" s="12" t="s">
        <v>34</v>
      </c>
      <c r="B164" s="2" t="s">
        <v>307</v>
      </c>
      <c r="C164" s="3" t="str">
        <f>HYPERLINK("http://www8.mpce.mp.br/Dispensa/4793720162.pdf","4793720162")</f>
        <v>4793720162</v>
      </c>
      <c r="D164" s="4">
        <v>45345</v>
      </c>
      <c r="E164" s="16" t="str">
        <f>HYPERLINK("https://www8.mpce.mp.br/Empenhos/150001/Objeto/14-2017.pdf","EMPENHO DE COTA ÚNICA DE TAXA MUNICIPAL DE RESÍDUOS SÓLIDOS URBANOS  TMRSU - 2024, REF. AO IMÓVEL ONDE FUNCIONA O GALPÃO DE ALMOXARIFADO  RUA NENZINHA PARENTE, 610, BAIRRO JANGURUSSU, CONF. CONTRATO Nº 014/2017/PGJ.")</f>
        <v>EMPENHO DE COTA ÚNICA DE TAXA MUNICIPAL DE RESÍDUOS SÓLIDOS URBANOS  TMRSU - 2024, REF. AO IMÓVEL ONDE FUNCIONA O GALPÃO DE ALMOXARIFADO  RUA NENZINHA PARENTE, 610, BAIRRO JANGURUSSU, CONF. CONTRATO Nº 014/2017/PGJ.</v>
      </c>
      <c r="F164" s="2" t="s">
        <v>252</v>
      </c>
      <c r="G164" s="5" t="str">
        <f>HYPERLINK("http://www8.mpce.mp.br/Empenhos/150501/NE/2024NE000207.pdf","2024NE000207")</f>
        <v>2024NE000207</v>
      </c>
      <c r="H164" s="6">
        <v>1508.04</v>
      </c>
      <c r="I164" s="7" t="s">
        <v>153</v>
      </c>
      <c r="J164" s="10" t="s">
        <v>154</v>
      </c>
      <c r="K164" t="str">
        <f>HYPERLINK("http://www8.mpce.mp.br/Empenhos/150501/NE/2024NE000053.pdf","2024NE000053")</f>
        <v>2024NE000053</v>
      </c>
      <c r="L164" s="13">
        <v>45512.77</v>
      </c>
      <c r="M164" t="s">
        <v>151</v>
      </c>
      <c r="N164">
        <v>22705562000173</v>
      </c>
    </row>
    <row r="165" spans="1:14" ht="51" x14ac:dyDescent="0.25">
      <c r="A165" s="12" t="s">
        <v>34</v>
      </c>
      <c r="B165" s="2" t="s">
        <v>307</v>
      </c>
      <c r="C165" s="3" t="str">
        <f>HYPERLINK("http://www8.mpce.mp.br/Dispensa/4793720162.pdf","4793720162")</f>
        <v>4793720162</v>
      </c>
      <c r="D165" s="4">
        <v>45348</v>
      </c>
      <c r="E165" s="16" t="str">
        <f>HYPERLINK("https://www8.mpce.mp.br/Empenhos/150001/Objeto/14-2017.pdf","EMPENHO DE IPTU/2024  PARCELA ÚNICA, REF. À GALPÃO DE ALMOXARIFADO LOCALIZADO À RUA NENZINHA PARENTE, 610, BAIRRO JANGURUSSU, CONF. CONTRATO Nº 014/2017/PGJ.")</f>
        <v>EMPENHO DE IPTU/2024  PARCELA ÚNICA, REF. À GALPÃO DE ALMOXARIFADO LOCALIZADO À RUA NENZINHA PARENTE, 610, BAIRRO JANGURUSSU, CONF. CONTRATO Nº 014/2017/PGJ.</v>
      </c>
      <c r="F165" s="2" t="s">
        <v>252</v>
      </c>
      <c r="G165" s="5" t="str">
        <f>HYPERLINK("http://www8.mpce.mp.br/Empenhos/150501/NE/2024NE000208.pdf","2024NE000208")</f>
        <v>2024NE000208</v>
      </c>
      <c r="H165" s="6">
        <v>6257.88</v>
      </c>
      <c r="I165" s="7" t="s">
        <v>153</v>
      </c>
      <c r="J165" s="10" t="s">
        <v>154</v>
      </c>
      <c r="K165" t="str">
        <f>HYPERLINK("http://www8.mpce.mp.br/Empenhos/150501/NE/2024NE000054.pdf","2024NE000054")</f>
        <v>2024NE000054</v>
      </c>
      <c r="L165" s="13">
        <v>22000</v>
      </c>
      <c r="M165" t="s">
        <v>153</v>
      </c>
      <c r="N165">
        <v>10508750000122</v>
      </c>
    </row>
    <row r="166" spans="1:14" ht="38.25" x14ac:dyDescent="0.25">
      <c r="A166" s="12" t="s">
        <v>34</v>
      </c>
      <c r="B166" s="2" t="s">
        <v>308</v>
      </c>
      <c r="C166" s="3" t="str">
        <f>HYPERLINK("https://transparencia-area-fim.mpce.mp.br/#/consulta/processo/pastadigital/092021000079244","09.2021.00007924-4")</f>
        <v>09.2021.00007924-4</v>
      </c>
      <c r="D166" s="4">
        <v>45349</v>
      </c>
      <c r="E166" s="16" t="str">
        <f>HYPERLINK("https://www8.mpce.mp.br/Empenhos/150001/Objeto/27-2021.pdf","LOCAÇÃO DE IMÓVEL ONDE FUNCIONAM AS PROMOTORIAD DE EUSÉBIO-CE, REF AOS MESES DE JANEIRO E FEVEREWIRO/2024.CONTRATO 27/2021 POR ESTIMATIVA.")</f>
        <v>LOCAÇÃO DE IMÓVEL ONDE FUNCIONAM AS PROMOTORIAD DE EUSÉBIO-CE, REF AOS MESES DE JANEIRO E FEVEREWIRO/2024.CONTRATO 27/2021 POR ESTIMATIVA.</v>
      </c>
      <c r="F166" s="2" t="s">
        <v>116</v>
      </c>
      <c r="G166" s="5" t="str">
        <f>HYPERLINK("http://www8.mpce.mp.br/Empenhos/150501/NE/2024NE000212.pdf","2024NE000212")</f>
        <v>2024NE000212</v>
      </c>
      <c r="H166" s="6">
        <v>11092.2</v>
      </c>
      <c r="I166" s="7" t="s">
        <v>144</v>
      </c>
      <c r="J166" s="10" t="s">
        <v>145</v>
      </c>
      <c r="K166" t="str">
        <f>HYPERLINK("http://www8.mpce.mp.br/Empenhos/150501/NE/2024NE000055.pdf","2024NE000055")</f>
        <v>2024NE000055</v>
      </c>
      <c r="L166" s="13">
        <v>5400</v>
      </c>
      <c r="M166" t="s">
        <v>156</v>
      </c>
      <c r="N166">
        <v>33457311000133</v>
      </c>
    </row>
    <row r="167" spans="1:14" ht="63.75" x14ac:dyDescent="0.25">
      <c r="A167" s="12" t="s">
        <v>34</v>
      </c>
      <c r="B167" s="2" t="s">
        <v>309</v>
      </c>
      <c r="C167" s="3" t="str">
        <f>HYPERLINK("https://transparencia-area-fim.mpce.mp.br/#/consulta/processo/pastadigital/092024000039809","09.2024.00003980-9")</f>
        <v>09.2024.00003980-9</v>
      </c>
      <c r="D167" s="4">
        <v>45365</v>
      </c>
      <c r="E167" s="16" t="s">
        <v>310</v>
      </c>
      <c r="F167" s="2" t="s">
        <v>250</v>
      </c>
      <c r="G167" s="5" t="str">
        <f>HYPERLINK("http://www8.mpce.mp.br/Empenhos/150501/NE/2024NE000213.pdf","2024NE000213")</f>
        <v>2024NE000213</v>
      </c>
      <c r="H167" s="6">
        <v>720350</v>
      </c>
      <c r="I167" s="7" t="s">
        <v>244</v>
      </c>
      <c r="J167" s="10" t="s">
        <v>245</v>
      </c>
      <c r="K167" t="str">
        <f>HYPERLINK("http://www8.mpce.mp.br/Empenhos/150501/NE/2024NE000056.pdf","2024NE000056")</f>
        <v>2024NE000056</v>
      </c>
      <c r="L167" s="13">
        <v>22143.48</v>
      </c>
      <c r="M167" t="s">
        <v>153</v>
      </c>
      <c r="N167">
        <v>10508750000122</v>
      </c>
    </row>
    <row r="168" spans="1:14" ht="51" x14ac:dyDescent="0.25">
      <c r="A168" s="12" t="s">
        <v>9</v>
      </c>
      <c r="B168" s="2" t="s">
        <v>311</v>
      </c>
      <c r="C168" s="3" t="str">
        <f>HYPERLINK("https://transparencia-area-fim.mpce.mp.br/#/consulta/processo/pastadigital/092023000293915","09.2023.00029391-5")</f>
        <v>09.2023.00029391-5</v>
      </c>
      <c r="D168" s="4">
        <v>45350</v>
      </c>
      <c r="E168" s="16" t="str">
        <f>HYPERLINK("https://www8.mpce.mp.br/Empenhos/150001/Objeto/54-2023.pdf","REEMBOLSO DE IPTU DO IMÓVEL SITUADO NA RUA NENZINHA PARENTE, 590 - JANGURUSSU, FORTALEZA-CE, ONDE FUNCIONA O GALPÃO DO ALMOXARIFADO DA PGJ, CONF. CONTRATO 054/2023, REF. 2024-PARCELA ÚNICA.")</f>
        <v>REEMBOLSO DE IPTU DO IMÓVEL SITUADO NA RUA NENZINHA PARENTE, 590 - JANGURUSSU, FORTALEZA-CE, ONDE FUNCIONA O GALPÃO DO ALMOXARIFADO DA PGJ, CONF. CONTRATO 054/2023, REF. 2024-PARCELA ÚNICA.</v>
      </c>
      <c r="F168" s="2" t="s">
        <v>116</v>
      </c>
      <c r="G168" s="5" t="str">
        <f>HYPERLINK("http://www8.mpce.mp.br/Empenhos/150501/NE/2024NE000217.pdf","2024NE000217")</f>
        <v>2024NE000217</v>
      </c>
      <c r="H168" s="6">
        <v>3909.78</v>
      </c>
      <c r="I168" s="7" t="s">
        <v>153</v>
      </c>
      <c r="J168" s="10" t="s">
        <v>154</v>
      </c>
      <c r="K168" t="str">
        <f>HYPERLINK("http://www8.mpce.mp.br/Empenhos/150501/NE/2024NE000057.pdf","2024NE000057")</f>
        <v>2024NE000057</v>
      </c>
      <c r="L168" s="13">
        <v>58910.97</v>
      </c>
      <c r="M168" t="s">
        <v>158</v>
      </c>
      <c r="N168">
        <v>5569807000163</v>
      </c>
    </row>
    <row r="169" spans="1:14" ht="38.25" x14ac:dyDescent="0.25">
      <c r="A169" s="12" t="s">
        <v>34</v>
      </c>
      <c r="B169" s="2" t="s">
        <v>312</v>
      </c>
      <c r="C169" s="3" t="str">
        <f>HYPERLINK("https://transparencia-area-fim.mpce.mp.br/#/consulta/processo/pastadigital/092023000165633","09.2023.00016563-3")</f>
        <v>09.2023.00016563-3</v>
      </c>
      <c r="D169" s="4">
        <v>45350</v>
      </c>
      <c r="E169" s="16" t="s">
        <v>313</v>
      </c>
      <c r="F169" s="2" t="s">
        <v>314</v>
      </c>
      <c r="G169" s="5" t="str">
        <f>HYPERLINK("http://www8.mpce.mp.br/Empenhos/150501/NE/2024NE000218.pdf","2024NE000218")</f>
        <v>2024NE000218</v>
      </c>
      <c r="H169" s="6">
        <v>8780</v>
      </c>
      <c r="I169" s="7" t="s">
        <v>315</v>
      </c>
      <c r="J169" s="10" t="s">
        <v>833</v>
      </c>
      <c r="K169" t="str">
        <f>HYPERLINK("http://www8.mpce.mp.br/Empenhos/150501/NE/2024NE000058.pdf","2024NE000058")</f>
        <v>2024NE000058</v>
      </c>
      <c r="L169" s="13">
        <v>4000</v>
      </c>
      <c r="M169" t="s">
        <v>162</v>
      </c>
      <c r="N169">
        <v>19678451824</v>
      </c>
    </row>
    <row r="170" spans="1:14" ht="38.25" x14ac:dyDescent="0.25">
      <c r="A170" s="12" t="s">
        <v>34</v>
      </c>
      <c r="B170" s="2" t="s">
        <v>190</v>
      </c>
      <c r="C170" s="3" t="str">
        <f>HYPERLINK("https://transparencia-area-fim.mpce.mp.br/#/consulta/processo/pastadigital/092022000343795","09.2022.00034379-5")</f>
        <v>09.2022.00034379-5</v>
      </c>
      <c r="D170" s="4">
        <v>45351</v>
      </c>
      <c r="E170" s="16" t="str">
        <f>HYPERLINK("https://www8.mpce.mp.br/Empenhos/150001/Objeto/25-2023.pdf","LOCAÇÃO DE IMÓVEL ONDE FUNCIONAM AS PROMOTORIAS DE COMARCA DE CANINDÉ-CE, CONF. CONTRATO 025/2023, REF. FEV E MAR/2024, POR ESTIMATIVA.")</f>
        <v>LOCAÇÃO DE IMÓVEL ONDE FUNCIONAM AS PROMOTORIAS DE COMARCA DE CANINDÉ-CE, CONF. CONTRATO 025/2023, REF. FEV E MAR/2024, POR ESTIMATIVA.</v>
      </c>
      <c r="F170" s="2" t="s">
        <v>116</v>
      </c>
      <c r="G170" s="5" t="str">
        <f>HYPERLINK("http://www8.mpce.mp.br/Empenhos/150501/NE/2024NE000219.pdf","2024NE000219")</f>
        <v>2024NE000219</v>
      </c>
      <c r="H170" s="6">
        <v>28000</v>
      </c>
      <c r="I170" s="7" t="s">
        <v>234</v>
      </c>
      <c r="J170" s="10" t="s">
        <v>235</v>
      </c>
      <c r="K170" t="str">
        <f>HYPERLINK("http://www8.mpce.mp.br/Empenhos/150501/NE/2024NE000059.pdf","2024NE000059")</f>
        <v>2024NE000059</v>
      </c>
      <c r="L170" s="13">
        <v>7269.13</v>
      </c>
      <c r="M170" t="s">
        <v>164</v>
      </c>
      <c r="N170">
        <v>7340995000189</v>
      </c>
    </row>
    <row r="171" spans="1:14" ht="51" x14ac:dyDescent="0.25">
      <c r="A171" s="12" t="s">
        <v>9</v>
      </c>
      <c r="B171" s="2" t="s">
        <v>280</v>
      </c>
      <c r="C171" s="3" t="str">
        <f>HYPERLINK("https://transparencia-area-fim.mpce.mp.br/#/consulta/processo/pastadigital/092023000214163","09.2023.00021416-3")</f>
        <v>09.2023.00021416-3</v>
      </c>
      <c r="D171" s="4">
        <v>45352</v>
      </c>
      <c r="E171" s="16" t="str">
        <f>HYPERLINK("https://www8.mpce.mp.br/Empenhos/150001/Objeto/56-2023.pdf","REEMBOLSO ATINENTE AO FORNECIMENTO DE ENERGIA ELÉTRICA DO IMÓVEL ONDE FUNCIONA A SEDE DAS PROMOTORIAS DE JUSTIÇA DE BATURITÉ, CONF. CONTRATO 056/2023, REF. AO PERÍODO DE 11/11 A 01/12/2023.")</f>
        <v>REEMBOLSO ATINENTE AO FORNECIMENTO DE ENERGIA ELÉTRICA DO IMÓVEL ONDE FUNCIONA A SEDE DAS PROMOTORIAS DE JUSTIÇA DE BATURITÉ, CONF. CONTRATO 056/2023, REF. AO PERÍODO DE 11/11 A 01/12/2023.</v>
      </c>
      <c r="F171" s="2" t="s">
        <v>225</v>
      </c>
      <c r="G171" s="5" t="str">
        <f>HYPERLINK("http://www8.mpce.mp.br/Empenhos/150501/NE/2024NE000220.pdf","2024NE000220")</f>
        <v>2024NE000220</v>
      </c>
      <c r="H171" s="6">
        <v>599.85</v>
      </c>
      <c r="I171" s="7" t="s">
        <v>156</v>
      </c>
      <c r="J171" s="10" t="s">
        <v>157</v>
      </c>
      <c r="K171" t="str">
        <f>HYPERLINK("http://www8.mpce.mp.br/Empenhos/150501/NE/2024NE000060.pdf","2024NE000060")</f>
        <v>2024NE000060</v>
      </c>
      <c r="L171" s="13">
        <v>1065.1600000000001</v>
      </c>
      <c r="M171" t="s">
        <v>166</v>
      </c>
      <c r="N171">
        <v>81324910330</v>
      </c>
    </row>
    <row r="172" spans="1:14" ht="38.25" x14ac:dyDescent="0.25">
      <c r="A172" s="12" t="s">
        <v>34</v>
      </c>
      <c r="B172" s="2" t="s">
        <v>316</v>
      </c>
      <c r="C172" s="3" t="str">
        <f>HYPERLINK("https://transparencia-area-fim.mpce.mp.br/#/consulta/processo/pastadigital/092023000156189","09.2023.00015618-9")</f>
        <v>09.2023.00015618-9</v>
      </c>
      <c r="D172" s="4">
        <v>45355</v>
      </c>
      <c r="E172" s="16" t="s">
        <v>317</v>
      </c>
      <c r="F172" s="2" t="s">
        <v>318</v>
      </c>
      <c r="G172" s="5" t="str">
        <f>HYPERLINK("http://www8.mpce.mp.br/Empenhos/150501/NE/2024NE000221.pdf","2024NE000221")</f>
        <v>2024NE000221</v>
      </c>
      <c r="H172" s="6">
        <v>3206</v>
      </c>
      <c r="I172" s="7" t="s">
        <v>319</v>
      </c>
      <c r="J172" s="10" t="s">
        <v>834</v>
      </c>
      <c r="K172" t="str">
        <f>HYPERLINK("http://www8.mpce.mp.br/Empenhos/150501/NE/2024NE000061.pdf","2024NE000061")</f>
        <v>2024NE000061</v>
      </c>
      <c r="L172" s="13">
        <v>27329.279999999999</v>
      </c>
      <c r="M172" t="s">
        <v>169</v>
      </c>
      <c r="N172">
        <v>23017090353</v>
      </c>
    </row>
    <row r="173" spans="1:14" ht="38.25" x14ac:dyDescent="0.25">
      <c r="A173" s="12" t="s">
        <v>34</v>
      </c>
      <c r="B173" s="2" t="s">
        <v>316</v>
      </c>
      <c r="C173" s="3" t="str">
        <f>HYPERLINK("https://transparencia-area-fim.mpce.mp.br/#/consulta/processo/pastadigital/092023000156189","09.2023.00015618-9")</f>
        <v>09.2023.00015618-9</v>
      </c>
      <c r="D173" s="4">
        <v>45355</v>
      </c>
      <c r="E173" s="16" t="s">
        <v>320</v>
      </c>
      <c r="F173" s="2" t="s">
        <v>318</v>
      </c>
      <c r="G173" s="5" t="str">
        <f>HYPERLINK("http://www8.mpce.mp.br/Empenhos/150501/NE/2024NE000222.pdf","2024NE000222")</f>
        <v>2024NE000222</v>
      </c>
      <c r="H173" s="6">
        <v>1280</v>
      </c>
      <c r="I173" s="7" t="s">
        <v>321</v>
      </c>
      <c r="J173" s="10" t="s">
        <v>835</v>
      </c>
      <c r="K173" t="str">
        <f>HYPERLINK("http://www8.mpce.mp.br/Empenhos/150501/NE/2024NE000062.pdf","2024NE000062")</f>
        <v>2024NE000062</v>
      </c>
      <c r="L173" s="13">
        <v>18465</v>
      </c>
      <c r="M173" t="s">
        <v>171</v>
      </c>
      <c r="N173">
        <v>7936046000166</v>
      </c>
    </row>
    <row r="174" spans="1:14" ht="51" x14ac:dyDescent="0.25">
      <c r="A174" s="12" t="s">
        <v>34</v>
      </c>
      <c r="B174" s="2" t="s">
        <v>136</v>
      </c>
      <c r="C174" s="3" t="str">
        <f>HYPERLINK("https://transparencia-area-fim.mpce.mp.br/#/consulta/processo/pastadigital/092024000041337","09.2024.00004133-7")</f>
        <v>09.2024.00004133-7</v>
      </c>
      <c r="D174" s="4">
        <v>45338</v>
      </c>
      <c r="E174" s="16" t="s">
        <v>322</v>
      </c>
      <c r="F174" s="2" t="s">
        <v>296</v>
      </c>
      <c r="G174" s="5" t="str">
        <f>HYPERLINK("http://www8.mpce.mp.br/Empenhos/150001/NE/2024NE000225.pdf","2024NE000225")</f>
        <v>2024NE000225</v>
      </c>
      <c r="H174" s="6">
        <v>18000</v>
      </c>
      <c r="I174" s="7" t="s">
        <v>297</v>
      </c>
      <c r="J174" s="10" t="s">
        <v>832</v>
      </c>
      <c r="K174" t="str">
        <f>HYPERLINK("http://www8.mpce.mp.br/Empenhos/150501/NE/2024NE000063.pdf","2024NE000063")</f>
        <v>2024NE000063</v>
      </c>
      <c r="L174" s="13">
        <v>1400</v>
      </c>
      <c r="M174" t="s">
        <v>173</v>
      </c>
      <c r="N174">
        <v>50591630320</v>
      </c>
    </row>
    <row r="175" spans="1:14" ht="63.75" x14ac:dyDescent="0.25">
      <c r="A175" s="12" t="s">
        <v>34</v>
      </c>
      <c r="B175" s="2" t="s">
        <v>323</v>
      </c>
      <c r="C175" s="3" t="str">
        <f>HYPERLINK("http://www8.mpce.mp.br/Dispensa/842220170.pdf","8422/20170")</f>
        <v>8422/20170</v>
      </c>
      <c r="D175" s="4">
        <v>45357</v>
      </c>
      <c r="E175" s="16" t="str">
        <f>HYPERLINK("https://www8.mpce.mp.br/Empenhos/150001/Objeto/16-2017.pdf","EMPENHO DE IPTU REFERENTE A 2ª PARCELA DE 2024, RELATIVO AO IMÓVEL ONDE FUNCIONAM AS PROMOTORIAS DE JUSTIÇA CRIMINAIS, LOCALIZADAS À AV. CEL. JOSÉ FILOMENO GOMES, 222, BAIRRO LUCIANO CAVALCANTE, CONF. CONTRATO Nº 016/2017/PGJ.")</f>
        <v>EMPENHO DE IPTU REFERENTE A 2ª PARCELA DE 2024, RELATIVO AO IMÓVEL ONDE FUNCIONAM AS PROMOTORIAS DE JUSTIÇA CRIMINAIS, LOCALIZADAS À AV. CEL. JOSÉ FILOMENO GOMES, 222, BAIRRO LUCIANO CAVALCANTE, CONF. CONTRATO Nº 016/2017/PGJ.</v>
      </c>
      <c r="F175" s="2" t="s">
        <v>252</v>
      </c>
      <c r="G175" s="5" t="str">
        <f>HYPERLINK("http://www8.mpce.mp.br/Empenhos/150501/NE/2024NE000228.pdf","2024NE000228")</f>
        <v>2024NE000228</v>
      </c>
      <c r="H175" s="6">
        <v>2619.0100000000002</v>
      </c>
      <c r="I175" s="7" t="s">
        <v>158</v>
      </c>
      <c r="J175" s="10" t="s">
        <v>159</v>
      </c>
      <c r="K175" t="str">
        <f>HYPERLINK("http://www8.mpce.mp.br/Empenhos/150501/NE/2024NE000064.pdf","2024NE000064")</f>
        <v>2024NE000064</v>
      </c>
      <c r="L175" s="13">
        <v>26000</v>
      </c>
      <c r="M175" t="s">
        <v>175</v>
      </c>
      <c r="N175">
        <v>14763826000117</v>
      </c>
    </row>
    <row r="176" spans="1:14" ht="89.25" x14ac:dyDescent="0.25">
      <c r="A176" s="12" t="s">
        <v>34</v>
      </c>
      <c r="B176" s="2" t="s">
        <v>324</v>
      </c>
      <c r="C176" s="3" t="str">
        <f>HYPERLINK("http://www8.mpce.mp.br/Dispensa/842220170.pdf","8422/20170")</f>
        <v>8422/20170</v>
      </c>
      <c r="D176" s="4">
        <v>45357</v>
      </c>
      <c r="E176" s="16" t="s">
        <v>767</v>
      </c>
      <c r="F176" s="2" t="s">
        <v>252</v>
      </c>
      <c r="G176" s="5" t="str">
        <f>HYPERLINK("http://www8.mpce.mp.br/Empenhos/150501/NE/2024NE000229.pdf","2024NE000229")</f>
        <v>2024NE000229</v>
      </c>
      <c r="H176" s="6">
        <v>152.32</v>
      </c>
      <c r="I176" s="7" t="s">
        <v>158</v>
      </c>
      <c r="J176" s="10" t="s">
        <v>159</v>
      </c>
      <c r="K176" t="str">
        <f>HYPERLINK("http://www8.mpce.mp.br/Empenhos/150501/NE/2024NE000065.pdf","2024NE000065")</f>
        <v>2024NE000065</v>
      </c>
      <c r="L176" s="13">
        <v>8150.28</v>
      </c>
      <c r="M176" t="s">
        <v>177</v>
      </c>
      <c r="N176">
        <v>2144832315</v>
      </c>
    </row>
    <row r="177" spans="1:14" ht="51" x14ac:dyDescent="0.25">
      <c r="A177" s="12" t="s">
        <v>34</v>
      </c>
      <c r="B177" s="2" t="s">
        <v>325</v>
      </c>
      <c r="C177" s="3" t="str">
        <f>HYPERLINK("http://www8.mpce.mp.br/Dispensa/2826420164.pdf","28264/2016-4")</f>
        <v>28264/2016-4</v>
      </c>
      <c r="D177" s="4">
        <v>45357</v>
      </c>
      <c r="E177" s="16" t="str">
        <f>HYPERLINK("https://www8.mpce.mp.br/Empenhos/150001/Objeto/26-2016.pdf","EMPENHO DO ALUGUEL DO MÊS DE ABRIL DE 2024 DO IMÓVEL ONDE FUNCIONAM OS CENTROS DE APOIO OPERACIONAIS E ÓRGÃOS DE INVESTIGAÇÃO, REF. CONTRATO 026/2016/CPL/PGJ.")</f>
        <v>EMPENHO DO ALUGUEL DO MÊS DE ABRIL DE 2024 DO IMÓVEL ONDE FUNCIONAM OS CENTROS DE APOIO OPERACIONAIS E ÓRGÃOS DE INVESTIGAÇÃO, REF. CONTRATO 026/2016/CPL/PGJ.</v>
      </c>
      <c r="F177" s="2" t="s">
        <v>116</v>
      </c>
      <c r="G177" s="5" t="str">
        <f>HYPERLINK("http://www8.mpce.mp.br/Empenhos/150501/NE/2024NE000230.pdf","2024NE000230")</f>
        <v>2024NE000230</v>
      </c>
      <c r="H177" s="6">
        <v>61958.53</v>
      </c>
      <c r="I177" s="7" t="s">
        <v>142</v>
      </c>
      <c r="J177" s="10" t="s">
        <v>143</v>
      </c>
      <c r="K177" t="str">
        <f>HYPERLINK("http://www8.mpce.mp.br/Empenhos/150501/NE/2024NE000066.pdf","2024NE000066")</f>
        <v>2024NE000066</v>
      </c>
      <c r="L177" s="13">
        <v>2935.71</v>
      </c>
      <c r="M177" t="s">
        <v>179</v>
      </c>
      <c r="N177">
        <v>77748638349</v>
      </c>
    </row>
    <row r="178" spans="1:14" ht="63.75" x14ac:dyDescent="0.25">
      <c r="A178" s="12" t="s">
        <v>34</v>
      </c>
      <c r="B178" s="2" t="s">
        <v>326</v>
      </c>
      <c r="C178" s="3" t="str">
        <f>HYPERLINK("http://www8.mpce.mp.br/Dispensa/4503020176.pdf","45030/2017-6")</f>
        <v>45030/2017-6</v>
      </c>
      <c r="D178" s="4">
        <v>45358</v>
      </c>
      <c r="E178" s="16" t="str">
        <f>HYPERLINK("https://www8.mpce.mp.br/Empenhos/150001/Objeto/74-2019.pdf","EMPENHO DE IPTU REFERENTE A COTA ÚNICA DE 2024, REF. À IMÓVEL ONDE FUNCIONAM AS PROMOTORIAS DE JUSTIÇA DE GRANJA, LOCALIZADO À RUA 2 DE NOVEMBRO, Nº 664, BAIRRO CENTRO, GRANJA/CE, EM CONSONÂNCIA COM O CONTRATO Nº 074/2019/PGJ.")</f>
        <v>EMPENHO DE IPTU REFERENTE A COTA ÚNICA DE 2024, REF. À IMÓVEL ONDE FUNCIONAM AS PROMOTORIAS DE JUSTIÇA DE GRANJA, LOCALIZADO À RUA 2 DE NOVEMBRO, Nº 664, BAIRRO CENTRO, GRANJA/CE, EM CONSONÂNCIA COM O CONTRATO Nº 074/2019/PGJ.</v>
      </c>
      <c r="F178" s="2" t="s">
        <v>252</v>
      </c>
      <c r="G178" s="5" t="str">
        <f>HYPERLINK("http://www8.mpce.mp.br/Empenhos/150501/NE/2024NE000231.pdf","2024NE000231")</f>
        <v>2024NE000231</v>
      </c>
      <c r="H178" s="6">
        <v>237.72</v>
      </c>
      <c r="I178" s="7" t="s">
        <v>236</v>
      </c>
      <c r="J178" s="10" t="s">
        <v>237</v>
      </c>
      <c r="K178" t="str">
        <f>HYPERLINK("http://www8.mpce.mp.br/Empenhos/150501/NE/2024NE000067.pdf","2024NE000067")</f>
        <v>2024NE000067</v>
      </c>
      <c r="L178" s="13">
        <v>66161.41</v>
      </c>
      <c r="M178" t="s">
        <v>132</v>
      </c>
      <c r="N178">
        <v>11710431000168</v>
      </c>
    </row>
    <row r="179" spans="1:14" ht="38.25" x14ac:dyDescent="0.25">
      <c r="A179" s="12" t="s">
        <v>34</v>
      </c>
      <c r="B179" s="2" t="s">
        <v>327</v>
      </c>
      <c r="C179" s="3" t="str">
        <f>HYPERLINK("http://www8.mpce.mp.br/Dispensa/4793720162.pdf","4793720162")</f>
        <v>4793720162</v>
      </c>
      <c r="D179" s="4">
        <v>45358</v>
      </c>
      <c r="E179" s="16" t="str">
        <f>HYPERLINK("https://www8.mpce.mp.br/Empenhos/150001/Objeto/14-2017.pdf","EMPENHO DO ALUGUEL DO MÊS DE ABRIL DE 2024, REF. AO IMÓVEL ONDE FUNCIONA O ALMOXARIFADO E PATRIMÔNIO, CONF.CONTRATO Nº 014/2017/PGJ.")</f>
        <v>EMPENHO DO ALUGUEL DO MÊS DE ABRIL DE 2024, REF. AO IMÓVEL ONDE FUNCIONA O ALMOXARIFADO E PATRIMÔNIO, CONF.CONTRATO Nº 014/2017/PGJ.</v>
      </c>
      <c r="F179" s="2" t="s">
        <v>116</v>
      </c>
      <c r="G179" s="5" t="str">
        <f>HYPERLINK("http://www8.mpce.mp.br/Empenhos/150501/NE/2024NE000232.pdf","2024NE000232")</f>
        <v>2024NE000232</v>
      </c>
      <c r="H179" s="6">
        <v>22143.48</v>
      </c>
      <c r="I179" s="7" t="s">
        <v>153</v>
      </c>
      <c r="J179" s="10" t="s">
        <v>154</v>
      </c>
      <c r="K179" t="str">
        <f>HYPERLINK("http://www8.mpce.mp.br/Empenhos/150501/NE/2024NE000068.pdf","2024NE000068")</f>
        <v>2024NE000068</v>
      </c>
      <c r="L179" s="13">
        <v>1200</v>
      </c>
      <c r="M179" t="s">
        <v>182</v>
      </c>
      <c r="N179">
        <v>31014895391</v>
      </c>
    </row>
    <row r="180" spans="1:14" ht="51" x14ac:dyDescent="0.25">
      <c r="A180" s="12" t="s">
        <v>34</v>
      </c>
      <c r="B180" s="2" t="s">
        <v>323</v>
      </c>
      <c r="C180" s="3" t="str">
        <f>HYPERLINK("http://www8.mpce.mp.br/Dispensa/842220170.pdf","8422/20170")</f>
        <v>8422/20170</v>
      </c>
      <c r="D180" s="4">
        <v>45358</v>
      </c>
      <c r="E180" s="16" t="str">
        <f>HYPERLINK("https://www8.mpce.mp.br/Empenhos/150001/Objeto/16-2017.pdf","EMPENHO DO ALUGUEL DO MÊS DE ABRIL DE 2024, REF. AO IMÓVEL ONDE FUNCIONAM AS PROMOTORIAS DE JUSTIÇA CRIMINAIS DE FORTALEZA, EM CONSONÂNCIA COM O CONTRATO Nº 016/2017/PGJ.")</f>
        <v>EMPENHO DO ALUGUEL DO MÊS DE ABRIL DE 2024, REF. AO IMÓVEL ONDE FUNCIONAM AS PROMOTORIAS DE JUSTIÇA CRIMINAIS DE FORTALEZA, EM CONSONÂNCIA COM O CONTRATO Nº 016/2017/PGJ.</v>
      </c>
      <c r="F180" s="2" t="s">
        <v>116</v>
      </c>
      <c r="G180" s="5" t="str">
        <f>HYPERLINK("http://www8.mpce.mp.br/Empenhos/150501/NE/2024NE000233.pdf","2024NE000233")</f>
        <v>2024NE000233</v>
      </c>
      <c r="H180" s="6">
        <v>58910.97</v>
      </c>
      <c r="I180" s="7" t="s">
        <v>158</v>
      </c>
      <c r="J180" s="10" t="s">
        <v>159</v>
      </c>
      <c r="K180" t="str">
        <f>HYPERLINK("http://www8.mpce.mp.br/Empenhos/150501/NE/2024NE000069.pdf","2024NE000069")</f>
        <v>2024NE000069</v>
      </c>
      <c r="L180" s="13">
        <v>1550</v>
      </c>
      <c r="M180" t="s">
        <v>184</v>
      </c>
      <c r="N180">
        <v>84738480391</v>
      </c>
    </row>
    <row r="181" spans="1:14" ht="51" x14ac:dyDescent="0.25">
      <c r="A181" s="12" t="s">
        <v>34</v>
      </c>
      <c r="B181" s="2" t="s">
        <v>328</v>
      </c>
      <c r="C181" s="3" t="str">
        <f>HYPERLINK("https://transparencia-area-fim.mpce.mp.br/#/consulta/processo/pastadigital/092022000197876","09.2022.00019787-6")</f>
        <v>09.2022.00019787-6</v>
      </c>
      <c r="D181" s="4">
        <v>45358</v>
      </c>
      <c r="E181" s="16" t="str">
        <f>HYPERLINK("https://www8.mpce.mp.br/Empenhos/150001/Objeto/02-2023.pdf","EMPENHO DO ALUGUEL DOS MÊS DE ABRIL DE 2024, REF. AO IMÓVEL ONDE FUNCIONA O NÚCLEO DE MEDIAÇÃO COMUNITÁRIA DO BOM JARDIM, EM CONFORMIDADE COM O CONTRATO Nº 002/2023/PGJ.")</f>
        <v>EMPENHO DO ALUGUEL DOS MÊS DE ABRIL DE 2024, REF. AO IMÓVEL ONDE FUNCIONA O NÚCLEO DE MEDIAÇÃO COMUNITÁRIA DO BOM JARDIM, EM CONFORMIDADE COM O CONTRATO Nº 002/2023/PGJ.</v>
      </c>
      <c r="F181" s="2" t="s">
        <v>116</v>
      </c>
      <c r="G181" s="5" t="str">
        <f>HYPERLINK("http://www8.mpce.mp.br/Empenhos/150501/NE/2024NE000234.pdf","2024NE000234")</f>
        <v>2024NE000234</v>
      </c>
      <c r="H181" s="6">
        <v>5600</v>
      </c>
      <c r="I181" s="7" t="s">
        <v>123</v>
      </c>
      <c r="J181" s="10" t="s">
        <v>124</v>
      </c>
      <c r="K181" t="str">
        <f>HYPERLINK("http://www8.mpce.mp.br/Empenhos/150501/NE/2024NE000070.pdf","2024NE000070")</f>
        <v>2024NE000070</v>
      </c>
      <c r="L181" s="13">
        <v>1306.7</v>
      </c>
      <c r="M181" t="s">
        <v>186</v>
      </c>
      <c r="N181">
        <v>43713017387</v>
      </c>
    </row>
    <row r="182" spans="1:14" ht="45" x14ac:dyDescent="0.25">
      <c r="A182" s="12" t="s">
        <v>9</v>
      </c>
      <c r="B182" s="2" t="s">
        <v>329</v>
      </c>
      <c r="C182" s="3" t="str">
        <f>HYPERLINK("https://transparencia-area-fim.mpce.mp.br/#/consulta/processo/pastadigital/092023000293915","09.2023.00029391-5")</f>
        <v>09.2023.00029391-5</v>
      </c>
      <c r="D182" s="4">
        <v>45369</v>
      </c>
      <c r="E182" s="16" t="str">
        <f>HYPERLINK("https://www8.mpce.mp.br/Empenhos/150001/Objeto/54-2023.pdf","ALUGUEL DO IMÓVEL ONDE FUNCIONA O GALPÃO DO ALMOXARIFADO DA PGJ, CONF. CONTRATO 054/2023, REF. ABR/2024, POR ESTIMATIVA.")</f>
        <v>ALUGUEL DO IMÓVEL ONDE FUNCIONA O GALPÃO DO ALMOXARIFADO DA PGJ, CONF. CONTRATO 054/2023, REF. ABR/2024, POR ESTIMATIVA.</v>
      </c>
      <c r="F182" s="2" t="s">
        <v>116</v>
      </c>
      <c r="G182" s="5" t="str">
        <f>HYPERLINK("http://www8.mpce.mp.br/Empenhos/150501/NE/2024NE000235.pdf","2024NE000235")</f>
        <v>2024NE000235</v>
      </c>
      <c r="H182" s="6">
        <v>22000</v>
      </c>
      <c r="I182" s="7" t="s">
        <v>153</v>
      </c>
      <c r="J182" s="10" t="s">
        <v>154</v>
      </c>
      <c r="K182" t="str">
        <f>HYPERLINK("http://www8.mpce.mp.br/Empenhos/150501/NE/2024NE000071.pdf","2024NE000071")</f>
        <v>2024NE000071</v>
      </c>
      <c r="L182" s="13">
        <v>3897.24</v>
      </c>
      <c r="M182" t="s">
        <v>188</v>
      </c>
      <c r="N182">
        <v>1728735335</v>
      </c>
    </row>
    <row r="183" spans="1:14" ht="38.25" x14ac:dyDescent="0.25">
      <c r="A183" s="12" t="s">
        <v>34</v>
      </c>
      <c r="B183" s="2" t="s">
        <v>330</v>
      </c>
      <c r="C183" s="3" t="str">
        <f>HYPERLINK("http://www8.mpce.mp.br/Dispensa/1721020046.pdf","17210/2004-6")</f>
        <v>17210/2004-6</v>
      </c>
      <c r="D183" s="4">
        <v>45358</v>
      </c>
      <c r="E183" s="16" t="str">
        <f>HYPERLINK("https://www8.mpce.mp.br/Empenhos/150001/Objeto/02-2004.pdf","EMPENHO DO ALUGUEL DO MÊS DE ABRIL DE 2024, REF AO IMÓVEL ONDE FUNCIONA O DECON DE FORTALEZA, RELATIVO AO CONTRATO Nº 002/2004/PGJ.")</f>
        <v>EMPENHO DO ALUGUEL DO MÊS DE ABRIL DE 2024, REF AO IMÓVEL ONDE FUNCIONA O DECON DE FORTALEZA, RELATIVO AO CONTRATO Nº 002/2004/PGJ.</v>
      </c>
      <c r="F183" s="2" t="s">
        <v>116</v>
      </c>
      <c r="G183" s="5" t="str">
        <f>HYPERLINK("http://www8.mpce.mp.br/Empenhos/150501/NE/2024NE000238.pdf","2024NE000238")</f>
        <v>2024NE000238</v>
      </c>
      <c r="H183" s="6">
        <v>35789.699999999997</v>
      </c>
      <c r="I183" s="7" t="s">
        <v>120</v>
      </c>
      <c r="J183" s="10" t="s">
        <v>121</v>
      </c>
      <c r="K183" t="str">
        <f>HYPERLINK("http://www8.mpce.mp.br/Empenhos/150501/NE/2024NE000072.pdf","2024NE000072")</f>
        <v>2024NE000072</v>
      </c>
      <c r="L183" s="13">
        <v>13612</v>
      </c>
      <c r="M183" t="s">
        <v>129</v>
      </c>
      <c r="N183">
        <v>32697604000125</v>
      </c>
    </row>
    <row r="184" spans="1:14" ht="51" x14ac:dyDescent="0.25">
      <c r="A184" s="12" t="s">
        <v>9</v>
      </c>
      <c r="B184" s="2" t="s">
        <v>331</v>
      </c>
      <c r="C184" s="3" t="str">
        <f>HYPERLINK("http://www8.mpce.mp.br/Inexigibilidade/1045920194.pdf","10459/2019-4")</f>
        <v>10459/2019-4</v>
      </c>
      <c r="D184" s="4">
        <v>45362</v>
      </c>
      <c r="E184" s="16" t="str">
        <f>HYPERLINK("https://www8.mpce.mp.br/Empenhos/150001/Objeto/47-2019.pdf","SERVIÇOS DE PERÍCIA E ASSESSORIA TÉCNICA ESPECIALIZADAS, CONF. CONTRATO 047/2019, PROPOSTA 012/2024/ASTEF E PROJETO 013/2022, REF. MAR-JUN/2024, POR ESTIMATIVA.")</f>
        <v>SERVIÇOS DE PERÍCIA E ASSESSORIA TÉCNICA ESPECIALIZADAS, CONF. CONTRATO 047/2019, PROPOSTA 012/2024/ASTEF E PROJETO 013/2022, REF. MAR-JUN/2024, POR ESTIMATIVA.</v>
      </c>
      <c r="F184" s="2" t="s">
        <v>81</v>
      </c>
      <c r="G184" s="5" t="str">
        <f>HYPERLINK("http://www8.mpce.mp.br/Empenhos/150501/NE/2024NE000239.pdf","2024NE000239")</f>
        <v>2024NE000239</v>
      </c>
      <c r="H184" s="6">
        <v>92282</v>
      </c>
      <c r="I184" s="7" t="s">
        <v>254</v>
      </c>
      <c r="J184" s="10" t="s">
        <v>829</v>
      </c>
      <c r="K184" t="str">
        <f>HYPERLINK("http://www8.mpce.mp.br/Empenhos/150501/NE/2024NE000073.pdf","2024NE000073")</f>
        <v>2024NE000073</v>
      </c>
      <c r="L184" s="13">
        <v>1500</v>
      </c>
      <c r="M184" t="s">
        <v>191</v>
      </c>
      <c r="N184">
        <v>91495059391</v>
      </c>
    </row>
    <row r="185" spans="1:14" ht="76.5" x14ac:dyDescent="0.25">
      <c r="A185" s="12" t="s">
        <v>9</v>
      </c>
      <c r="B185" s="2" t="s">
        <v>332</v>
      </c>
      <c r="C185" s="3" t="str">
        <f>HYPERLINK("http://www8.mpce.mp.br/Inexigibilidade/1045920194.pdf","10459/2019-4")</f>
        <v>10459/2019-4</v>
      </c>
      <c r="D185" s="4">
        <v>45358</v>
      </c>
      <c r="E185" s="16" t="str">
        <f>HYPERLINK("https://www8.mpce.mp.br/Empenhos/150001/Objeto/47-2019.pdf","SERVIÇOS DE PERÍCIA E ASSESSORIA TÉCNICA ESPECIALIZADAS, CONF. CONTRATO 047/2019, REF. FEV-JUL/2024, POR ESTIMATIVA.OBSERVAÇÃO: ESTA NOTA DE EMPENHO SUBSTITUI A NED 2024NE000132, QUE FOI ANULADA EM SUA INTEGRALIDADE, POR ERRO DE CLASSIFICAÇÃO.")</f>
        <v>SERVIÇOS DE PERÍCIA E ASSESSORIA TÉCNICA ESPECIALIZADAS, CONF. CONTRATO 047/2019, REF. FEV-JUL/2024, POR ESTIMATIVA.OBSERVAÇÃO: ESTA NOTA DE EMPENHO SUBSTITUI A NED 2024NE000132, QUE FOI ANULADA EM SUA INTEGRALIDADE, POR ERRO DE CLASSIFICAÇÃO.</v>
      </c>
      <c r="F185" s="2" t="s">
        <v>253</v>
      </c>
      <c r="G185" s="5" t="str">
        <f>HYPERLINK("http://www8.mpce.mp.br/Empenhos/150501/NE/2024NE000241.pdf","2024NE000241")</f>
        <v>2024NE000241</v>
      </c>
      <c r="H185" s="6">
        <v>51948.800000000003</v>
      </c>
      <c r="I185" s="7" t="s">
        <v>254</v>
      </c>
      <c r="J185" s="10" t="s">
        <v>829</v>
      </c>
      <c r="K185" t="str">
        <f>HYPERLINK("http://www8.mpce.mp.br/Empenhos/150501/NE/2024NE000074.pdf","2024NE000074")</f>
        <v>2024NE000074</v>
      </c>
      <c r="L185" s="13">
        <v>2823.27</v>
      </c>
      <c r="M185" t="s">
        <v>193</v>
      </c>
      <c r="N185">
        <v>35165286215</v>
      </c>
    </row>
    <row r="186" spans="1:14" ht="51" x14ac:dyDescent="0.25">
      <c r="A186" s="12" t="s">
        <v>34</v>
      </c>
      <c r="B186" s="2" t="s">
        <v>333</v>
      </c>
      <c r="C186" s="3" t="str">
        <f>HYPERLINK("https://transparencia-area-fim.mpce.mp.br/#/consulta/processo/pastadigital/092021000063220","09.2021.00006322-0")</f>
        <v>09.2021.00006322-0</v>
      </c>
      <c r="D186" s="4">
        <v>45362</v>
      </c>
      <c r="E186" s="16" t="str">
        <f>HYPERLINK("https://www8.mpce.mp.br/Empenhos/150001/Objeto/33-2021.pdf","EMPENHO DO ALUGUEL DO MÊS DE ABRIL  2024, REF. AO IMÓVEL ONDE FUNCIONAL AS PROMOTORIAS DE JUSTIÇA DA COMARCA DE SOBRAL, EM CONSONÂNCIA COM O CONTRATO Nº 033/2021/PGJ.")</f>
        <v>EMPENHO DO ALUGUEL DO MÊS DE ABRIL  2024, REF. AO IMÓVEL ONDE FUNCIONAL AS PROMOTORIAS DE JUSTIÇA DA COMARCA DE SOBRAL, EM CONSONÂNCIA COM O CONTRATO Nº 033/2021/PGJ.</v>
      </c>
      <c r="F186" s="2" t="s">
        <v>116</v>
      </c>
      <c r="G186" s="5" t="str">
        <f>HYPERLINK("http://www8.mpce.mp.br/Empenhos/150501/NE/2024NE000246.pdf","2024NE000246")</f>
        <v>2024NE000246</v>
      </c>
      <c r="H186" s="6">
        <v>33400.11</v>
      </c>
      <c r="I186" s="7" t="s">
        <v>134</v>
      </c>
      <c r="J186" s="10" t="s">
        <v>135</v>
      </c>
      <c r="K186" t="str">
        <f>HYPERLINK("http://www8.mpce.mp.br/Empenhos/150501/NE/2024NE000075.pdf","2024NE000075")</f>
        <v>2024NE000075</v>
      </c>
      <c r="L186" s="13">
        <v>2500</v>
      </c>
      <c r="M186" t="s">
        <v>195</v>
      </c>
      <c r="N186">
        <v>7136315387</v>
      </c>
    </row>
    <row r="187" spans="1:14" ht="51" x14ac:dyDescent="0.25">
      <c r="A187" s="12" t="s">
        <v>34</v>
      </c>
      <c r="B187" s="2" t="s">
        <v>334</v>
      </c>
      <c r="C187" s="3" t="str">
        <f>HYPERLINK("https://transparencia-area-fim.mpce.mp.br/#/consulta/processo/pastadigital/092021000064195","09.2021.00006419-5")</f>
        <v>09.2021.00006419-5</v>
      </c>
      <c r="D187" s="4">
        <v>45369</v>
      </c>
      <c r="E187" s="16" t="str">
        <f>HYPERLINK("https://www8.mpce.mp.br/Empenhos/150001/Objeto/41-2021.pdf","ALUGUEL DO IMÓVEL ONDE FUNCIONA A SEDE DAS PROMOTORIAS DE JUSTIÇA DA COMARCA DE QUIXADÁ, CONF. CONTRATO 041/2021, REF. ABR/2024, POR ESTIMATIVA.")</f>
        <v>ALUGUEL DO IMÓVEL ONDE FUNCIONA A SEDE DAS PROMOTORIAS DE JUSTIÇA DA COMARCA DE QUIXADÁ, CONF. CONTRATO 041/2021, REF. ABR/2024, POR ESTIMATIVA.</v>
      </c>
      <c r="F187" s="2" t="s">
        <v>116</v>
      </c>
      <c r="G187" s="5" t="str">
        <f>HYPERLINK("http://www8.mpce.mp.br/Empenhos/150501/NE/2024NE000247.pdf","2024NE000247")</f>
        <v>2024NE000247</v>
      </c>
      <c r="H187" s="6">
        <v>18900</v>
      </c>
      <c r="I187" s="7" t="s">
        <v>129</v>
      </c>
      <c r="J187" s="10" t="s">
        <v>130</v>
      </c>
      <c r="K187" t="str">
        <f>HYPERLINK("http://www8.mpce.mp.br/Empenhos/150501/NE/2024NE000076.pdf","2024NE000076")</f>
        <v>2024NE000076</v>
      </c>
      <c r="L187">
        <v>800</v>
      </c>
      <c r="M187" t="s">
        <v>197</v>
      </c>
      <c r="N187">
        <v>19556292349</v>
      </c>
    </row>
    <row r="188" spans="1:14" ht="51" x14ac:dyDescent="0.25">
      <c r="A188" s="12" t="s">
        <v>34</v>
      </c>
      <c r="B188" s="2" t="s">
        <v>335</v>
      </c>
      <c r="C188" s="3" t="str">
        <f>HYPERLINK("https://transparencia-area-fim.mpce.mp.br/#/consulta/processo/pastadigital/092021000065217","09.2021.00006521-7")</f>
        <v>09.2021.00006521-7</v>
      </c>
      <c r="D188" s="4">
        <v>45369</v>
      </c>
      <c r="E188" s="16" t="str">
        <f>HYPERLINK("https://www8.mpce.mp.br/Empenhos/150001/Objeto/38-2021.pdf","EMPENHO DO ALUGUEL DO MÊS DE  JUNHO DE 2024, REF. À IMÓVEL ONDE FUNCIONAM AS PROMOTORIAS DE JUSTIÇA DA COMARCA DE TAUÁ EM REFERÊNCIA AO CONTRATO 038/2021/PGJ.")</f>
        <v>EMPENHO DO ALUGUEL DO MÊS DE  JUNHO DE 2024, REF. À IMÓVEL ONDE FUNCIONAM AS PROMOTORIAS DE JUSTIÇA DA COMARCA DE TAUÁ EM REFERÊNCIA AO CONTRATO 038/2021/PGJ.</v>
      </c>
      <c r="F188" s="2" t="s">
        <v>116</v>
      </c>
      <c r="G188" s="5" t="str">
        <f>HYPERLINK("http://www8.mpce.mp.br/Empenhos/150501/NE/2024NE000248.pdf","2024NE000248")</f>
        <v>2024NE000248</v>
      </c>
      <c r="H188" s="6">
        <v>18000</v>
      </c>
      <c r="I188" s="7" t="s">
        <v>146</v>
      </c>
      <c r="J188" s="10" t="s">
        <v>147</v>
      </c>
      <c r="K188" t="str">
        <f>HYPERLINK("http://www8.mpce.mp.br/Empenhos/150501/NE/2024NE000077.pdf","2024NE000077")</f>
        <v>2024NE000077</v>
      </c>
      <c r="L188" s="13">
        <v>1080.22</v>
      </c>
      <c r="M188" t="s">
        <v>199</v>
      </c>
      <c r="N188">
        <v>4514670359</v>
      </c>
    </row>
    <row r="189" spans="1:14" ht="51" x14ac:dyDescent="0.25">
      <c r="A189" s="12" t="s">
        <v>34</v>
      </c>
      <c r="B189" s="2" t="s">
        <v>334</v>
      </c>
      <c r="C189" s="3" t="str">
        <f>HYPERLINK("https://transparencia-area-fim.mpce.mp.br/#/consulta/processo/pastadigital/092021000244449","09.2021.00024444-9")</f>
        <v>09.2021.00024444-9</v>
      </c>
      <c r="D189" s="4">
        <v>45369</v>
      </c>
      <c r="E189" s="16" t="str">
        <f>HYPERLINK("https://www8.mpce.mp.br/Empenhos/150001/Objeto/12-2022.pdf","ALUGUEL DO IMÓVEL ONDE FUNCIONA A SEDE DAS PROMOTORIAS DE JUSTIÇA DA COMARCA DE RUSSAS-CE, CONF. CONTRATO 012/2022, REF. ABR/2024, POR ESTIMATIVA.")</f>
        <v>ALUGUEL DO IMÓVEL ONDE FUNCIONA A SEDE DAS PROMOTORIAS DE JUSTIÇA DA COMARCA DE RUSSAS-CE, CONF. CONTRATO 012/2022, REF. ABR/2024, POR ESTIMATIVA.</v>
      </c>
      <c r="F189" s="2" t="s">
        <v>116</v>
      </c>
      <c r="G189" s="5" t="str">
        <f>HYPERLINK("http://www8.mpce.mp.br/Empenhos/150501/NE/2024NE000249.pdf","2024NE000249")</f>
        <v>2024NE000249</v>
      </c>
      <c r="H189" s="6">
        <v>20900</v>
      </c>
      <c r="I189" s="7" t="s">
        <v>129</v>
      </c>
      <c r="J189" s="10" t="s">
        <v>130</v>
      </c>
      <c r="K189" t="str">
        <f>HYPERLINK("http://www8.mpce.mp.br/Empenhos/150501/NE/2024NE000078.pdf","2024NE000078")</f>
        <v>2024NE000078</v>
      </c>
      <c r="L189" s="13">
        <v>2000</v>
      </c>
      <c r="M189" t="s">
        <v>201</v>
      </c>
      <c r="N189">
        <v>7021062320</v>
      </c>
    </row>
    <row r="190" spans="1:14" ht="51" x14ac:dyDescent="0.25">
      <c r="A190" s="12" t="s">
        <v>34</v>
      </c>
      <c r="B190" s="2" t="s">
        <v>334</v>
      </c>
      <c r="C190" s="3" t="str">
        <f>HYPERLINK("https://transparencia-area-fim.mpce.mp.br/#/consulta/processo/pastadigital/092021000244582","09.2021.00024458-2")</f>
        <v>09.2021.00024458-2</v>
      </c>
      <c r="D190" s="4">
        <v>45369</v>
      </c>
      <c r="E190" s="16" t="str">
        <f>HYPERLINK("https://www8.mpce.mp.br/Empenhos/150001/Objeto/11-2022.pdf","ALUGUEL DO IMÓVEL ONDE FUNCIONA A SEDE DAS PROMOTORIAS DE JUSTIÇA DA COMARCA DE ARACATI, CONF. CONTRATO 011/2022, REF. ABR/2024, POR ESTIMATIVA.")</f>
        <v>ALUGUEL DO IMÓVEL ONDE FUNCIONA A SEDE DAS PROMOTORIAS DE JUSTIÇA DA COMARCA DE ARACATI, CONF. CONTRATO 011/2022, REF. ABR/2024, POR ESTIMATIVA.</v>
      </c>
      <c r="F190" s="2" t="s">
        <v>116</v>
      </c>
      <c r="G190" s="5" t="str">
        <f>HYPERLINK("http://www8.mpce.mp.br/Empenhos/150501/NE/2024NE000250.pdf","2024NE000250")</f>
        <v>2024NE000250</v>
      </c>
      <c r="H190" s="6">
        <v>18465</v>
      </c>
      <c r="I190" s="7" t="s">
        <v>171</v>
      </c>
      <c r="J190" s="10" t="s">
        <v>172</v>
      </c>
      <c r="K190" t="str">
        <f>HYPERLINK("http://www8.mpce.mp.br/Empenhos/150501/NE/2024NE000079.pdf","2024NE000079")</f>
        <v>2024NE000079</v>
      </c>
      <c r="L190" s="13">
        <v>2601.5500000000002</v>
      </c>
      <c r="M190" t="s">
        <v>203</v>
      </c>
      <c r="N190">
        <v>5817870304</v>
      </c>
    </row>
    <row r="191" spans="1:14" ht="38.25" x14ac:dyDescent="0.25">
      <c r="A191" s="12" t="s">
        <v>34</v>
      </c>
      <c r="B191" s="2" t="s">
        <v>336</v>
      </c>
      <c r="C191" s="3" t="str">
        <f>HYPERLINK("https://transparencia-area-fim.mpce.mp.br/#/consulta/processo/pastadigital/092021000244550","09.2021.00024455-0")</f>
        <v>09.2021.00024455-0</v>
      </c>
      <c r="D191" s="4">
        <v>45369</v>
      </c>
      <c r="E191" s="16" t="str">
        <f>HYPERLINK("https://www8.mpce.mp.br/Empenhos/150001/Objeto/10-2022.pdf","EMPENHO DO ALUGUEL DO MÊS DE ABRIL DE 2024, REF. AO IMÓVEL ONDE FUNCIONAM AS PROMOTORIAS DE JUSTIÇA DA COMARCA DE ICÓ, CONF. CONTRATO Nº 010/2022/PGJ.")</f>
        <v>EMPENHO DO ALUGUEL DO MÊS DE ABRIL DE 2024, REF. AO IMÓVEL ONDE FUNCIONAM AS PROMOTORIAS DE JUSTIÇA DA COMARCA DE ICÓ, CONF. CONTRATO Nº 010/2022/PGJ.</v>
      </c>
      <c r="F191" s="2" t="s">
        <v>161</v>
      </c>
      <c r="G191" s="5" t="str">
        <f>HYPERLINK("http://www8.mpce.mp.br/Empenhos/150501/NE/2024NE000251.pdf","2024NE000251")</f>
        <v>2024NE000251</v>
      </c>
      <c r="H191" s="6">
        <v>13486.5</v>
      </c>
      <c r="I191" s="7" t="s">
        <v>217</v>
      </c>
      <c r="J191" s="10" t="s">
        <v>218</v>
      </c>
      <c r="K191" t="str">
        <f>HYPERLINK("http://www8.mpce.mp.br/Empenhos/150501/NE/2024NE000080.pdf","2024NE000080")</f>
        <v>2024NE000080</v>
      </c>
      <c r="L191" s="13">
        <v>4827.58</v>
      </c>
      <c r="M191" t="s">
        <v>205</v>
      </c>
      <c r="N191">
        <v>34123367852</v>
      </c>
    </row>
    <row r="192" spans="1:14" ht="30" x14ac:dyDescent="0.25">
      <c r="A192" s="12" t="s">
        <v>9</v>
      </c>
      <c r="B192" s="2" t="s">
        <v>337</v>
      </c>
      <c r="C192" s="3" t="str">
        <f>HYPERLINK("https://transparencia-area-fim.mpce.mp.br/#/consulta/processo/pastadigital/092022000400426","09.2022.00040042-6")</f>
        <v>09.2022.00040042-6</v>
      </c>
      <c r="D192" s="4">
        <v>45341</v>
      </c>
      <c r="E192" s="17" t="str">
        <f>HYPERLINK("https://www8.mpce.mp.br/Empenhos/150001/Objeto/07-2023.pdf","LICENÇAS DE USO AO ACERVO DA BIBLIOTECA DIGITAL MINHA BIBLIOTECA POR ESTIMATIVA, PARA O EXERCÍCIO DE 2024.2")</f>
        <v>LICENÇAS DE USO AO ACERVO DA BIBLIOTECA DIGITAL MINHA BIBLIOTECA POR ESTIMATIVA, PARA O EXERCÍCIO DE 2024.2</v>
      </c>
      <c r="F192" s="2" t="s">
        <v>338</v>
      </c>
      <c r="G192" s="5" t="str">
        <f>HYPERLINK("http://www8.mpce.mp.br/Empenhos/150001/NE/2024NE000252.pdf","2024NE000252")</f>
        <v>2024NE000252</v>
      </c>
      <c r="H192" s="6">
        <v>93478.8</v>
      </c>
      <c r="I192" s="7" t="s">
        <v>339</v>
      </c>
      <c r="J192" s="10" t="s">
        <v>836</v>
      </c>
      <c r="K192" t="str">
        <f>HYPERLINK("http://www8.mpce.mp.br/Empenhos/150501/NE/2024NE000081.pdf","2024NE000081")</f>
        <v>2024NE000081</v>
      </c>
      <c r="L192" s="13">
        <v>1651.15</v>
      </c>
      <c r="M192" t="s">
        <v>207</v>
      </c>
      <c r="N192">
        <v>50937197300</v>
      </c>
    </row>
    <row r="193" spans="1:14" ht="38.25" x14ac:dyDescent="0.25">
      <c r="A193" s="12" t="s">
        <v>34</v>
      </c>
      <c r="B193" s="2" t="s">
        <v>340</v>
      </c>
      <c r="C193" s="3" t="str">
        <f>HYPERLINK("http://www8.mpce.mp.br/Dispensa/1984020196.pdf","19840/2019-6")</f>
        <v>19840/2019-6</v>
      </c>
      <c r="D193" s="4">
        <v>45369</v>
      </c>
      <c r="E193" s="16" t="str">
        <f>HYPERLINK("https://www8.mpce.mp.br/Empenhos/150001/Objeto/48-2019.pdf","ALUGUEL DO IMÓVEL ONDE FUNCIONA A SEDE DAS PROMOTORIAS DE JUSTIÇA DE CAUCAIA, CONF. CONTRATO 048/2019, REF. ABR/2024, POR ESTIMATIVA.")</f>
        <v>ALUGUEL DO IMÓVEL ONDE FUNCIONA A SEDE DAS PROMOTORIAS DE JUSTIÇA DE CAUCAIA, CONF. CONTRATO 048/2019, REF. ABR/2024, POR ESTIMATIVA.</v>
      </c>
      <c r="F193" s="2" t="s">
        <v>116</v>
      </c>
      <c r="G193" s="5" t="str">
        <f>HYPERLINK("http://www8.mpce.mp.br/Empenhos/150501/NE/2024NE000252.pdf","2024NE000252")</f>
        <v>2024NE000252</v>
      </c>
      <c r="H193" s="6">
        <v>45512.77</v>
      </c>
      <c r="I193" s="7" t="s">
        <v>151</v>
      </c>
      <c r="J193" s="10" t="s">
        <v>152</v>
      </c>
      <c r="K193" t="str">
        <f>HYPERLINK("http://www8.mpce.mp.br/Empenhos/150501/NE/2024NE000082.pdf","2024NE000082")</f>
        <v>2024NE000082</v>
      </c>
      <c r="L193" s="13">
        <v>2400</v>
      </c>
      <c r="M193" t="s">
        <v>209</v>
      </c>
      <c r="N193">
        <v>25876988391</v>
      </c>
    </row>
    <row r="194" spans="1:14" ht="51" x14ac:dyDescent="0.25">
      <c r="A194" s="12" t="s">
        <v>34</v>
      </c>
      <c r="B194" s="2" t="s">
        <v>341</v>
      </c>
      <c r="C194" s="3" t="str">
        <f>HYPERLINK("https://transparencia-area-fim.mpce.mp.br/#/consulta/processo/pastadigital/092022000081432","09.2022.00008143-2")</f>
        <v>09.2022.00008143-2</v>
      </c>
      <c r="D194" s="4">
        <v>45369</v>
      </c>
      <c r="E194" s="16" t="str">
        <f>HYPERLINK("https://www8.mpce.mp.br/Empenhos/150001/Objeto/16-2022.pdf","EMPENHO DO ALUGUEL DO MÊS DE ABRIL DE2024, REF. AO IMÓVEL ONDE FUNCIONAM AS PROMOTORIAS DE JUSTIÇA DA COMARCA DE BARBALHA, RELATIVO AO CONTRATO Nº 016/2022/PGJ.")</f>
        <v>EMPENHO DO ALUGUEL DO MÊS DE ABRIL DE2024, REF. AO IMÓVEL ONDE FUNCIONAM AS PROMOTORIAS DE JUSTIÇA DA COMARCA DE BARBALHA, RELATIVO AO CONTRATO Nº 016/2022/PGJ.</v>
      </c>
      <c r="F194" s="2" t="s">
        <v>116</v>
      </c>
      <c r="G194" s="5" t="str">
        <f>HYPERLINK("http://www8.mpce.mp.br/Empenhos/150501/NE/2024NE000253.pdf","2024NE000253")</f>
        <v>2024NE000253</v>
      </c>
      <c r="H194" s="6">
        <v>16434.259999999998</v>
      </c>
      <c r="I194" s="7" t="s">
        <v>132</v>
      </c>
      <c r="J194" s="10" t="s">
        <v>133</v>
      </c>
      <c r="K194" t="str">
        <f>HYPERLINK("http://www8.mpce.mp.br/Empenhos/150501/NE/2024NE000083.pdf","2024NE000083")</f>
        <v>2024NE000083</v>
      </c>
      <c r="L194" s="13">
        <v>2341.9699999999998</v>
      </c>
      <c r="M194" t="s">
        <v>211</v>
      </c>
      <c r="N194">
        <v>46950052391</v>
      </c>
    </row>
    <row r="195" spans="1:14" ht="63.75" x14ac:dyDescent="0.25">
      <c r="A195" s="12" t="s">
        <v>9</v>
      </c>
      <c r="B195" s="2" t="s">
        <v>342</v>
      </c>
      <c r="C195" s="3" t="str">
        <f>HYPERLINK("https://transparencia-area-fim.mpce.mp.br/#/consulta/processo/pastadigital/092024000011800","09.2024.00001180-0")</f>
        <v>09.2024.00001180-0</v>
      </c>
      <c r="D195" s="4">
        <v>45342</v>
      </c>
      <c r="E195" s="16" t="s">
        <v>343</v>
      </c>
      <c r="F195" s="2" t="s">
        <v>344</v>
      </c>
      <c r="G195" s="5" t="str">
        <f>HYPERLINK("http://www8.mpce.mp.br/Empenhos/150001/NE/2024NE000254.pdf","2024NE000254")</f>
        <v>2024NE000254</v>
      </c>
      <c r="H195" s="6">
        <v>650</v>
      </c>
      <c r="I195" s="7" t="s">
        <v>345</v>
      </c>
      <c r="J195" s="10" t="s">
        <v>837</v>
      </c>
      <c r="K195" t="str">
        <f>HYPERLINK("http://www8.mpce.mp.br/Empenhos/150501/NE/2024NE000084.pdf","2024NE000084")</f>
        <v>2024NE000084</v>
      </c>
      <c r="L195" s="13">
        <v>2022.03</v>
      </c>
      <c r="M195" t="s">
        <v>213</v>
      </c>
      <c r="N195">
        <v>65652827300</v>
      </c>
    </row>
    <row r="196" spans="1:14" ht="51" x14ac:dyDescent="0.25">
      <c r="A196" s="12" t="s">
        <v>34</v>
      </c>
      <c r="B196" s="2" t="s">
        <v>346</v>
      </c>
      <c r="C196" s="3" t="str">
        <f>HYPERLINK("https://transparencia-area-fim.mpce.mp.br/#/consulta/processo/pastadigital/092021000244271","09.2021.00024427-1")</f>
        <v>09.2021.00024427-1</v>
      </c>
      <c r="D196" s="4">
        <v>45369</v>
      </c>
      <c r="E196" s="16" t="str">
        <f>HYPERLINK("https://www8.mpce.mp.br/Empenhos/150001/Objeto/17-2022.pdf","EMPENHO DO ALUGUEL DO MÊS DE ABRIL DE 2024, REF. AO IMÓVEL ONDE FUNCIONAM AS PROMOTORIAS DE JUSTIÇA DA COMARCA DE TIANGUÁ, RELATIVO AO CONTRATO Nº 017/2022/PGJ.")</f>
        <v>EMPENHO DO ALUGUEL DO MÊS DE ABRIL DE 2024, REF. AO IMÓVEL ONDE FUNCIONAM AS PROMOTORIAS DE JUSTIÇA DA COMARCA DE TIANGUÁ, RELATIVO AO CONTRATO Nº 017/2022/PGJ.</v>
      </c>
      <c r="F196" s="2" t="s">
        <v>116</v>
      </c>
      <c r="G196" s="5" t="str">
        <f>HYPERLINK("http://www8.mpce.mp.br/Empenhos/150501/NE/2024NE000254.pdf","2024NE000254")</f>
        <v>2024NE000254</v>
      </c>
      <c r="H196" s="6">
        <v>26000</v>
      </c>
      <c r="I196" s="7" t="s">
        <v>175</v>
      </c>
      <c r="J196" s="10" t="s">
        <v>176</v>
      </c>
      <c r="K196" t="str">
        <f>HYPERLINK("http://www8.mpce.mp.br/Empenhos/150501/NE/2024NE000085.pdf","2024NE000085")</f>
        <v>2024NE000085</v>
      </c>
      <c r="L196" s="13">
        <v>32762.63</v>
      </c>
      <c r="M196" t="s">
        <v>215</v>
      </c>
      <c r="N196">
        <v>21134653000133</v>
      </c>
    </row>
    <row r="197" spans="1:14" ht="51" x14ac:dyDescent="0.25">
      <c r="A197" s="12" t="s">
        <v>34</v>
      </c>
      <c r="B197" s="2" t="s">
        <v>347</v>
      </c>
      <c r="C197" s="3" t="str">
        <f>HYPERLINK("https://transparencia-area-fim.mpce.mp.br/#/consulta/processo/pastadigital/092021000244282","09.2021.00024428-2")</f>
        <v>09.2021.00024428-2</v>
      </c>
      <c r="D197" s="4">
        <v>45369</v>
      </c>
      <c r="E197" s="16" t="str">
        <f>HYPERLINK("https://www8.mpce.mp.br/Empenhos/150001/Objeto/18-2022.pdf","EMPENHO DO ALUGUEL DO MÊS DE ABRIL DE 2024, REF. AO IMÓVEL ONDE FUNCIONAM AS PROMOTORIAS DE JUSTIÇA DA COMARCA DE CRATEÚS, RELATIVO AO CONTRATO Nº 018/2022/PGJ.")</f>
        <v>EMPENHO DO ALUGUEL DO MÊS DE ABRIL DE 2024, REF. AO IMÓVEL ONDE FUNCIONAM AS PROMOTORIAS DE JUSTIÇA DA COMARCA DE CRATEÚS, RELATIVO AO CONTRATO Nº 018/2022/PGJ.</v>
      </c>
      <c r="F197" s="2" t="s">
        <v>116</v>
      </c>
      <c r="G197" s="5" t="str">
        <f>HYPERLINK("http://www8.mpce.mp.br/Empenhos/150501/NE/2024NE000255.pdf","2024NE000255")</f>
        <v>2024NE000255</v>
      </c>
      <c r="H197" s="6">
        <v>26000.1</v>
      </c>
      <c r="I197" s="7" t="s">
        <v>134</v>
      </c>
      <c r="J197" s="10" t="s">
        <v>135</v>
      </c>
      <c r="K197" t="str">
        <f>HYPERLINK("http://www8.mpce.mp.br/Empenhos/150501/NE/2024NE000086.pdf","2024NE000086")</f>
        <v>2024NE000086</v>
      </c>
      <c r="L197" s="13">
        <v>13486.5</v>
      </c>
      <c r="M197" t="s">
        <v>217</v>
      </c>
      <c r="N197">
        <v>8034508420</v>
      </c>
    </row>
    <row r="198" spans="1:14" ht="51" x14ac:dyDescent="0.25">
      <c r="A198" s="12" t="s">
        <v>34</v>
      </c>
      <c r="B198" s="2" t="s">
        <v>348</v>
      </c>
      <c r="C198" s="3" t="str">
        <f>HYPERLINK("https://transparencia-area-fim.mpce.mp.br/#/consulta/processo/pastadigital/092022000230870","09.2022.00023087-0")</f>
        <v>09.2022.00023087-0</v>
      </c>
      <c r="D198" s="4">
        <v>45369</v>
      </c>
      <c r="E198" s="16" t="str">
        <f>HYPERLINK("https://www8.mpce.mp.br/Empenhos/150001/Objeto/29-2022.pdf","EMPENHO DO ALUGUEL DO MÊS DE ABRIL DE 2024, REF. AO IMÓVEL ONDE FUNCIONAM AS PROMOTORIAS DE JUSTIÇA DA COMARCA DE JUAZEIRO DO NORTE, RELATIVO AO CONTRATO 029/2022/PGJ.")</f>
        <v>EMPENHO DO ALUGUEL DO MÊS DE ABRIL DE 2024, REF. AO IMÓVEL ONDE FUNCIONAM AS PROMOTORIAS DE JUSTIÇA DA COMARCA DE JUAZEIRO DO NORTE, RELATIVO AO CONTRATO 029/2022/PGJ.</v>
      </c>
      <c r="F198" s="2" t="s">
        <v>116</v>
      </c>
      <c r="G198" s="5" t="str">
        <f>HYPERLINK("http://www8.mpce.mp.br/Empenhos/150501/NE/2024NE000256.pdf","2024NE000256")</f>
        <v>2024NE000256</v>
      </c>
      <c r="H198" s="6">
        <v>66161.41</v>
      </c>
      <c r="I198" s="7" t="s">
        <v>132</v>
      </c>
      <c r="J198" s="10" t="s">
        <v>133</v>
      </c>
      <c r="K198" t="str">
        <f>HYPERLINK("http://www8.mpce.mp.br/Empenhos/150501/NE/2024NE000087.pdf","2024NE000087")</f>
        <v>2024NE000087</v>
      </c>
      <c r="L198" s="13">
        <v>1685.82</v>
      </c>
      <c r="M198" t="s">
        <v>199</v>
      </c>
      <c r="N198">
        <v>4514670359</v>
      </c>
    </row>
    <row r="199" spans="1:14" ht="51" x14ac:dyDescent="0.25">
      <c r="A199" s="12" t="s">
        <v>34</v>
      </c>
      <c r="B199" s="2" t="s">
        <v>349</v>
      </c>
      <c r="C199" s="3" t="str">
        <f>HYPERLINK("https://transparencia-area-fim.mpce.mp.br/#/consulta/processo/pastadigital/092022000343751","09.2022.00034375-1")</f>
        <v>09.2022.00034375-1</v>
      </c>
      <c r="D199" s="4">
        <v>45369</v>
      </c>
      <c r="E199" s="16" t="str">
        <f>HYPERLINK("https://www8.mpce.mp.br/Empenhos/150001/Objeto/08-2023.pdf","EMPENHO DO ALUGUEL DOS MÊS DE ABRIL  2024, REF. AO IMÓVEL ONDE FUNCIONAM AS PROMOTORIAS DE JUSTIÇA DA COMARCA DE QUIXERAMOBIM, RELATIVO AO CONTRATO Nº 008/2023/PGJ.")</f>
        <v>EMPENHO DO ALUGUEL DOS MÊS DE ABRIL  2024, REF. AO IMÓVEL ONDE FUNCIONAM AS PROMOTORIAS DE JUSTIÇA DA COMARCA DE QUIXERAMOBIM, RELATIVO AO CONTRATO Nº 008/2023/PGJ.</v>
      </c>
      <c r="F199" s="2" t="s">
        <v>116</v>
      </c>
      <c r="G199" s="5" t="str">
        <f>HYPERLINK("http://www8.mpce.mp.br/Empenhos/150501/NE/2024NE000257.pdf","2024NE000257")</f>
        <v>2024NE000257</v>
      </c>
      <c r="H199" s="6">
        <v>14180</v>
      </c>
      <c r="I199" s="7" t="s">
        <v>129</v>
      </c>
      <c r="J199" s="10" t="s">
        <v>130</v>
      </c>
      <c r="K199" t="str">
        <f>HYPERLINK("http://www8.mpce.mp.br/Empenhos/150501/NE/2024NE000088.pdf","2024NE000088")</f>
        <v>2024NE000088</v>
      </c>
      <c r="L199">
        <v>680.03</v>
      </c>
      <c r="M199" t="s">
        <v>219</v>
      </c>
      <c r="N199">
        <v>20941439372</v>
      </c>
    </row>
    <row r="200" spans="1:14" ht="51" x14ac:dyDescent="0.25">
      <c r="A200" s="12" t="s">
        <v>34</v>
      </c>
      <c r="B200" s="2" t="s">
        <v>350</v>
      </c>
      <c r="C200" s="3" t="str">
        <f>HYPERLINK("https://transparencia-area-fim.mpce.mp.br/#/consulta/processo/pastadigital/092022000343829","09.2022.00034382-9")</f>
        <v>09.2022.00034382-9</v>
      </c>
      <c r="D200" s="4">
        <v>45369</v>
      </c>
      <c r="E200" s="16" t="str">
        <f>HYPERLINK("https://www8.mpce.mp.br/Empenhos/150001/Objeto/10-2023.pdf","EMPENHO DO ALUGUEL DO MÊS DE ABRIL DE 2024, REF. AO IMÓVEL ONDE FUNCIONAM AS PROMOTORIAS DE JUSTIÇA DA COMARCA DE ITAPAJÉ, RELATIVO AO CONTRATO Nº 010/2023/PGJ.")</f>
        <v>EMPENHO DO ALUGUEL DO MÊS DE ABRIL DE 2024, REF. AO IMÓVEL ONDE FUNCIONAM AS PROMOTORIAS DE JUSTIÇA DA COMARCA DE ITAPAJÉ, RELATIVO AO CONTRATO Nº 010/2023/PGJ.</v>
      </c>
      <c r="F200" s="2" t="s">
        <v>116</v>
      </c>
      <c r="G200" s="5" t="str">
        <f>HYPERLINK("http://www8.mpce.mp.br/Empenhos/150501/NE/2024NE000258.pdf","2024NE000258")</f>
        <v>2024NE000258</v>
      </c>
      <c r="H200" s="6">
        <v>13612</v>
      </c>
      <c r="I200" s="7" t="s">
        <v>129</v>
      </c>
      <c r="J200" s="10" t="s">
        <v>130</v>
      </c>
      <c r="K200" t="str">
        <f>HYPERLINK("http://www8.mpce.mp.br/Empenhos/150501/NE/2024NE000089.pdf","2024NE000089")</f>
        <v>2024NE000089</v>
      </c>
      <c r="L200" s="13">
        <v>2000</v>
      </c>
      <c r="M200" t="s">
        <v>221</v>
      </c>
      <c r="N200">
        <v>81514034891</v>
      </c>
    </row>
    <row r="201" spans="1:14" ht="51" x14ac:dyDescent="0.25">
      <c r="A201" s="12" t="s">
        <v>34</v>
      </c>
      <c r="B201" s="2" t="s">
        <v>351</v>
      </c>
      <c r="C201" s="3" t="str">
        <f>HYPERLINK("https://transparencia-area-fim.mpce.mp.br/#/consulta/processo/pastadigital/092022000343818","09.2022.00034381-8")</f>
        <v>09.2022.00034381-8</v>
      </c>
      <c r="D201" s="4">
        <v>45369</v>
      </c>
      <c r="E201" s="16" t="str">
        <f>HYPERLINK("https://www8.mpce.mp.br/Empenhos/150001/Objeto/24-2023.pdf","EMPENHO DO ALUGUEL DO MÊS DE ABRIL DE 2024, REF. AO IMÓVEL ONDE FUNCIONAM AS PROMOTORIAS DE JUSTIÇA DA COMARCA DE ITAPIPOCA, RELATIVO AO CONTRATO Nº 024/2023/PGJ.")</f>
        <v>EMPENHO DO ALUGUEL DO MÊS DE ABRIL DE 2024, REF. AO IMÓVEL ONDE FUNCIONAM AS PROMOTORIAS DE JUSTIÇA DA COMARCA DE ITAPIPOCA, RELATIVO AO CONTRATO Nº 024/2023/PGJ.</v>
      </c>
      <c r="F201" s="2" t="s">
        <v>116</v>
      </c>
      <c r="G201" s="5" t="str">
        <f>HYPERLINK("http://www8.mpce.mp.br/Empenhos/150501/NE/2024NE000259.pdf","2024NE000259")</f>
        <v>2024NE000259</v>
      </c>
      <c r="H201" s="6">
        <v>18000</v>
      </c>
      <c r="I201" s="7" t="s">
        <v>240</v>
      </c>
      <c r="J201" s="10" t="s">
        <v>241</v>
      </c>
      <c r="K201" t="str">
        <f>HYPERLINK("http://www8.mpce.mp.br/Empenhos/150501/NE/2024NE000090.pdf","2024NE000090")</f>
        <v>2024NE000090</v>
      </c>
      <c r="L201" s="13">
        <v>2280</v>
      </c>
      <c r="M201" t="s">
        <v>213</v>
      </c>
      <c r="N201">
        <v>65652827300</v>
      </c>
    </row>
    <row r="202" spans="1:14" ht="51" x14ac:dyDescent="0.25">
      <c r="A202" s="12" t="s">
        <v>34</v>
      </c>
      <c r="B202" s="2" t="s">
        <v>352</v>
      </c>
      <c r="C202" s="3" t="str">
        <f>HYPERLINK("https://transparencia-area-fim.mpce.mp.br/#/consulta/processo/pastadigital/092022000343840","09.2022.00034384-0")</f>
        <v>09.2022.00034384-0</v>
      </c>
      <c r="D202" s="4">
        <v>45371</v>
      </c>
      <c r="E202" s="16" t="str">
        <f>HYPERLINK("https://www8.mpce.mp.br/Empenhos/150001/Objeto/11-2023.pdf","EMPENHO DO ALUGUEL DO MÊS DE ABRIL DE 2024, RELATIVO AO IMÓVEL ONDE FUNCIONAM AS PROMOTORIAS DE JUSTIÇA DA COMARCA DE SANTA QUITÉRIA, CONF. CONTRATO Nº 011/2023/PGJ.")</f>
        <v>EMPENHO DO ALUGUEL DO MÊS DE ABRIL DE 2024, RELATIVO AO IMÓVEL ONDE FUNCIONAM AS PROMOTORIAS DE JUSTIÇA DA COMARCA DE SANTA QUITÉRIA, CONF. CONTRATO Nº 011/2023/PGJ.</v>
      </c>
      <c r="F202" s="2" t="s">
        <v>116</v>
      </c>
      <c r="G202" s="5" t="str">
        <f>HYPERLINK("http://www8.mpce.mp.br/Empenhos/150501/NE/2024NE000260.pdf","2024NE000260")</f>
        <v>2024NE000260</v>
      </c>
      <c r="H202" s="6">
        <v>13200</v>
      </c>
      <c r="I202" s="7" t="s">
        <v>238</v>
      </c>
      <c r="J202" s="10" t="s">
        <v>239</v>
      </c>
      <c r="K202" t="str">
        <f>HYPERLINK("http://www8.mpce.mp.br/Empenhos/150501/NE/2024NE000091.pdf","2024NE000091")</f>
        <v>2024NE000091</v>
      </c>
      <c r="L202" s="13">
        <v>5546.1</v>
      </c>
      <c r="M202" t="s">
        <v>144</v>
      </c>
      <c r="N202">
        <v>22588967000179</v>
      </c>
    </row>
    <row r="203" spans="1:14" ht="51" x14ac:dyDescent="0.25">
      <c r="A203" s="12" t="s">
        <v>34</v>
      </c>
      <c r="B203" s="2" t="s">
        <v>334</v>
      </c>
      <c r="C203" s="3" t="str">
        <f>HYPERLINK("https://transparencia-area-fim.mpce.mp.br/#/consulta/processo/pastadigital/092022000343795","09.2022.00034379-5")</f>
        <v>09.2022.00034379-5</v>
      </c>
      <c r="D203" s="4">
        <v>45369</v>
      </c>
      <c r="E203" s="16" t="str">
        <f>HYPERLINK("https://www8.mpce.mp.br/Empenhos/150001/Objeto/25-2023.pdf","ALUGUEL DO IMÓVEL ONDE FUNCIONA A SEDE DAS PROMOTORIAS DE JUSTIÇA DA COMARCA DE CANINDÉ, CONF. CONTRATO 025/2023, REF. ABR/2024, POR ESTIMATIVA.")</f>
        <v>ALUGUEL DO IMÓVEL ONDE FUNCIONA A SEDE DAS PROMOTORIAS DE JUSTIÇA DA COMARCA DE CANINDÉ, CONF. CONTRATO 025/2023, REF. ABR/2024, POR ESTIMATIVA.</v>
      </c>
      <c r="F203" s="2" t="s">
        <v>116</v>
      </c>
      <c r="G203" s="5" t="str">
        <f>HYPERLINK("http://www8.mpce.mp.br/Empenhos/150501/NE/2024NE000261.pdf","2024NE000261")</f>
        <v>2024NE000261</v>
      </c>
      <c r="H203" s="6">
        <v>14000</v>
      </c>
      <c r="I203" s="7" t="s">
        <v>234</v>
      </c>
      <c r="J203" s="10" t="s">
        <v>235</v>
      </c>
      <c r="K203" t="str">
        <f>HYPERLINK("http://www8.mpce.mp.br/Empenhos/150501/NE/2024NE000092.pdf","2024NE000092")</f>
        <v>2024NE000092</v>
      </c>
      <c r="L203" s="13">
        <v>1140</v>
      </c>
      <c r="M203" t="s">
        <v>166</v>
      </c>
      <c r="N203">
        <v>81324910330</v>
      </c>
    </row>
    <row r="204" spans="1:14" ht="51" x14ac:dyDescent="0.25">
      <c r="A204" s="12" t="s">
        <v>9</v>
      </c>
      <c r="B204" s="2" t="s">
        <v>353</v>
      </c>
      <c r="C204" s="3" t="str">
        <f>HYPERLINK("http://www8.mpce.mp.br/Inexigibilidade/2903020176.pdf","29030/2017-6")</f>
        <v>29030/2017-6</v>
      </c>
      <c r="D204" s="4">
        <v>45362</v>
      </c>
      <c r="E204" s="16" t="str">
        <f>HYPERLINK("https://www8.mpce.mp.br/Empenhos/150001/Objeto/31-2018.pdf","SISTEMA SAJ-MP  ACOMPANHAMENTO DA OPERAÇÃO E HOSPEDAGEM EM NUVEM, POR ESTIMATIVA, REF.  AOS MESES DE JAN, FEV E MARÇO, CONF. CONTRATO Nº 031/2018 E PROJETO Nº 052/20243.")</f>
        <v>SISTEMA SAJ-MP  ACOMPANHAMENTO DA OPERAÇÃO E HOSPEDAGEM EM NUVEM, POR ESTIMATIVA, REF.  AOS MESES DE JAN, FEV E MARÇO, CONF. CONTRATO Nº 031/2018 E PROJETO Nº 052/20243.</v>
      </c>
      <c r="F204" s="2" t="s">
        <v>71</v>
      </c>
      <c r="G204" s="5" t="str">
        <f>HYPERLINK("http://www8.mpce.mp.br/Empenhos/150501/NE/2024NE000262.pdf","2024NE000262")</f>
        <v>2024NE000262</v>
      </c>
      <c r="H204" s="6">
        <v>493161.21</v>
      </c>
      <c r="I204" s="7" t="s">
        <v>72</v>
      </c>
      <c r="J204" s="10" t="s">
        <v>73</v>
      </c>
      <c r="K204" t="str">
        <f>HYPERLINK("http://www8.mpce.mp.br/Empenhos/150001/NE/2024NE000092.pdf","2024NE000092")</f>
        <v>2024NE000092</v>
      </c>
      <c r="L204" s="13">
        <v>17000</v>
      </c>
      <c r="M204" t="s">
        <v>226</v>
      </c>
      <c r="N204">
        <v>2581711000122</v>
      </c>
    </row>
    <row r="205" spans="1:14" ht="63.75" x14ac:dyDescent="0.25">
      <c r="A205" s="12" t="s">
        <v>34</v>
      </c>
      <c r="B205" s="2" t="s">
        <v>334</v>
      </c>
      <c r="C205" s="3" t="str">
        <f>HYPERLINK("http://www8.mpce.mp.br/Dispensa/4572720144.pdf","45727/2014-4")</f>
        <v>45727/2014-4</v>
      </c>
      <c r="D205" s="4">
        <v>45369</v>
      </c>
      <c r="E205" s="16" t="str">
        <f>HYPERLINK("https://www8.mpce.mp.br/Empenhos/150001/Objeto/01-2015.pdf","ALUGUEL DE 18 (DEZOITO) SALAS COMERCIAIS ONDE FUNCIONAM PROMOTORIAS DE JUSTIÇA DE JUAZEIRO DO NORTE, DECON E NÚCLEO DE GÊNERO E TUTELA COLETIVA E DO NÚCLEO DE GÊNERO PRÓ-MULHER, CONF. CONTRATO 001/2015, REF. ABR/2024, POR ESTIMATIVA.")</f>
        <v>ALUGUEL DE 18 (DEZOITO) SALAS COMERCIAIS ONDE FUNCIONAM PROMOTORIAS DE JUSTIÇA DE JUAZEIRO DO NORTE, DECON E NÚCLEO DE GÊNERO E TUTELA COLETIVA E DO NÚCLEO DE GÊNERO PRÓ-MULHER, CONF. CONTRATO 001/2015, REF. ABR/2024, POR ESTIMATIVA.</v>
      </c>
      <c r="F205" s="2" t="s">
        <v>116</v>
      </c>
      <c r="G205" s="5" t="str">
        <f>HYPERLINK("http://www8.mpce.mp.br/Empenhos/150501/NE/2024NE000266.pdf","2024NE000266")</f>
        <v>2024NE000266</v>
      </c>
      <c r="H205" s="6">
        <v>32762.63</v>
      </c>
      <c r="I205" s="7" t="s">
        <v>215</v>
      </c>
      <c r="J205" s="10" t="s">
        <v>216</v>
      </c>
      <c r="K205" t="str">
        <f>HYPERLINK("http://www8.mpce.mp.br/Empenhos/150501/NE/2024NE000093.pdf","2024NE000093")</f>
        <v>2024NE000093</v>
      </c>
      <c r="L205" s="13">
        <v>2000</v>
      </c>
      <c r="M205" t="s">
        <v>229</v>
      </c>
      <c r="N205">
        <v>78214130387</v>
      </c>
    </row>
    <row r="206" spans="1:14" ht="38.25" x14ac:dyDescent="0.25">
      <c r="A206" s="12" t="s">
        <v>34</v>
      </c>
      <c r="B206" s="2" t="s">
        <v>334</v>
      </c>
      <c r="C206" s="3" t="str">
        <f>HYPERLINK("http://www8.mpce.mp.br/Dispensa/575920103.pdf","5759/2010-3")</f>
        <v>5759/2010-3</v>
      </c>
      <c r="D206" s="4">
        <v>45373</v>
      </c>
      <c r="E206" s="16" t="str">
        <f>HYPERLINK("https://www8.mpce.mp.br/Empenhos/150001/Objeto/22-2010.pdf","ALUGUEL DO MÓVEL ONDE FUNCIONA A SEDE DAS PROMOTORIAS DE JUSTIÇA DA COMARCA DE GUAIÚBA, REF. ABR/2024, POR ESTIMATIVA.")</f>
        <v>ALUGUEL DO MÓVEL ONDE FUNCIONA A SEDE DAS PROMOTORIAS DE JUSTIÇA DA COMARCA DE GUAIÚBA, REF. ABR/2024, POR ESTIMATIVA.</v>
      </c>
      <c r="F206" s="2" t="s">
        <v>161</v>
      </c>
      <c r="G206" s="5" t="str">
        <f>HYPERLINK("http://www8.mpce.mp.br/Empenhos/150501/NE/2024NE000267.pdf","2024NE000267")</f>
        <v>2024NE000267</v>
      </c>
      <c r="H206" s="6">
        <v>2341.9699999999998</v>
      </c>
      <c r="I206" s="7" t="s">
        <v>211</v>
      </c>
      <c r="J206" s="10" t="s">
        <v>212</v>
      </c>
      <c r="K206" t="str">
        <f>HYPERLINK("http://www8.mpce.mp.br/Empenhos/150501/NE/2024NE000094.pdf","2024NE000094")</f>
        <v>2024NE000094</v>
      </c>
      <c r="L206" s="13">
        <v>4463.6400000000003</v>
      </c>
      <c r="M206" t="s">
        <v>144</v>
      </c>
      <c r="N206">
        <v>22588967000179</v>
      </c>
    </row>
    <row r="207" spans="1:14" ht="76.5" x14ac:dyDescent="0.25">
      <c r="A207" s="12" t="s">
        <v>34</v>
      </c>
      <c r="B207" s="2" t="s">
        <v>354</v>
      </c>
      <c r="C207" s="3" t="str">
        <f>HYPERLINK("https://transparencia-area-fim.mpce.mp.br/#/consulta/processo/pastadigital/092022000120475","09.2022.00012047-5")</f>
        <v>09.2022.00012047-5</v>
      </c>
      <c r="D207" s="4">
        <v>45345</v>
      </c>
      <c r="E207" s="16" t="str">
        <f>HYPERLINK("https://www8.mpce.mp.br/Empenhos/150001/Objeto/54-2022.pdf","EMPENHO DE SERVIÇOS DE INFORMAÇÕES DE CRÉDITOS, REF. : 1º TERMO DE APOSTILAMENTO AO CONTATO N. 054/2022, CELEBRADO COM A EMPRESA CREDILINK INFORMAÇÕES DE CRÉDITO, RELATIVO À PRESTAÇÃO DE CONSULTA DE DADOS CADASTRAIS DE ÂMBITO NACIONAL, VIA WEB SERVICE.")</f>
        <v>EMPENHO DE SERVIÇOS DE INFORMAÇÕES DE CRÉDITOS, REF. : 1º TERMO DE APOSTILAMENTO AO CONTATO N. 054/2022, CELEBRADO COM A EMPRESA CREDILINK INFORMAÇÕES DE CRÉDITO, RELATIVO À PRESTAÇÃO DE CONSULTA DE DADOS CADASTRAIS DE ÂMBITO NACIONAL, VIA WEB SERVICE.</v>
      </c>
      <c r="F207" s="2" t="s">
        <v>225</v>
      </c>
      <c r="G207" s="5" t="str">
        <f>HYPERLINK("http://www8.mpce.mp.br/Empenhos/150001/NE/2024NE000267.pdf","2024NE000267")</f>
        <v>2024NE000267</v>
      </c>
      <c r="H207" s="6">
        <v>785.6</v>
      </c>
      <c r="I207" s="7" t="s">
        <v>226</v>
      </c>
      <c r="J207" s="10" t="s">
        <v>227</v>
      </c>
      <c r="K207" t="str">
        <f>HYPERLINK("http://www8.mpce.mp.br/Empenhos/150501/NE/2024NE000095.pdf","2024NE000095")</f>
        <v>2024NE000095</v>
      </c>
      <c r="L207" s="13">
        <v>8177.55</v>
      </c>
      <c r="M207" t="s">
        <v>148</v>
      </c>
      <c r="N207">
        <v>23889442000136</v>
      </c>
    </row>
    <row r="208" spans="1:14" ht="76.5" x14ac:dyDescent="0.25">
      <c r="A208" s="12" t="s">
        <v>34</v>
      </c>
      <c r="B208" s="2" t="s">
        <v>334</v>
      </c>
      <c r="C208" s="3" t="str">
        <f>HYPERLINK("http://www8.mpce.mp.br/Dispensa/4572720144.pdf","45727/2014-4")</f>
        <v>45727/2014-4</v>
      </c>
      <c r="D208" s="4">
        <v>45369</v>
      </c>
      <c r="E208" s="16" t="str">
        <f>HYPERLINK("https://www8.mpce.mp.br/Empenhos/150001/Objeto/01-2015.pdf","TAXAS CONDOMINIAIS REF. 18 (DEZOITO) SALAS COMERCIAIS ONDE FUNCIONAM PROMOTORIAS DE JUSTIÇA DE JUAZEIRO DO NORTE, DECON E NÚCLEO DE GÊNERO E TUTELA COLETIVA E DO NÚCLEO DE GÊNERO PRÓ-MULHER, CONF. CONTRATO 001/2015, REF. ABR/2024, POR ESTIMATIVA.")</f>
        <v>TAXAS CONDOMINIAIS REF. 18 (DEZOITO) SALAS COMERCIAIS ONDE FUNCIONAM PROMOTORIAS DE JUSTIÇA DE JUAZEIRO DO NORTE, DECON E NÚCLEO DE GÊNERO E TUTELA COLETIVA E DO NÚCLEO DE GÊNERO PRÓ-MULHER, CONF. CONTRATO 001/2015, REF. ABR/2024, POR ESTIMATIVA.</v>
      </c>
      <c r="F208" s="2" t="s">
        <v>231</v>
      </c>
      <c r="G208" s="5" t="str">
        <f>HYPERLINK("http://www8.mpce.mp.br/Empenhos/150501/NE/2024NE000268.pdf","2024NE000268")</f>
        <v>2024NE000268</v>
      </c>
      <c r="H208" s="6">
        <v>6840</v>
      </c>
      <c r="I208" s="7" t="s">
        <v>215</v>
      </c>
      <c r="J208" s="10" t="s">
        <v>216</v>
      </c>
      <c r="K208" t="str">
        <f>HYPERLINK("http://www8.mpce.mp.br/Empenhos/150501/NE/2024NE000096.pdf","2024NE000096")</f>
        <v>2024NE000096</v>
      </c>
      <c r="L208" s="13">
        <v>4341.5600000000004</v>
      </c>
      <c r="M208" t="s">
        <v>232</v>
      </c>
      <c r="N208">
        <v>18904432391</v>
      </c>
    </row>
    <row r="209" spans="1:14" ht="51" x14ac:dyDescent="0.25">
      <c r="A209" s="12" t="s">
        <v>34</v>
      </c>
      <c r="B209" s="2" t="s">
        <v>355</v>
      </c>
      <c r="C209" s="3" t="str">
        <f>HYPERLINK("http://www8.mpce.mp.br/Dispensa/146020136.pdf","1460/2013-6")</f>
        <v>1460/2013-6</v>
      </c>
      <c r="D209" s="4">
        <v>45369</v>
      </c>
      <c r="E209" s="16" t="str">
        <f>HYPERLINK("https://www8.mpce.mp.br/Empenhos/150001/Objeto/39-2013.pdf","EMPENHO DO ALUGUEL DO MÊS DE ABRIL  2024, REF. AO IMÓVEL ONDE FUNCIONAS AS PROMOTORIAS DE JUSTIÇA DA COMARCA DE CASCAVEL, RELATIVO AO CONTRATO Nº 039/2013/CPL/PGJ.")</f>
        <v>EMPENHO DO ALUGUEL DO MÊS DE ABRIL  2024, REF. AO IMÓVEL ONDE FUNCIONAS AS PROMOTORIAS DE JUSTIÇA DA COMARCA DE CASCAVEL, RELATIVO AO CONTRATO Nº 039/2013/CPL/PGJ.</v>
      </c>
      <c r="F209" s="2" t="s">
        <v>161</v>
      </c>
      <c r="G209" s="5" t="str">
        <f>HYPERLINK("http://www8.mpce.mp.br/Empenhos/150501/NE/2024NE000269.pdf","2024NE000269")</f>
        <v>2024NE000269</v>
      </c>
      <c r="H209" s="6">
        <v>4341.5600000000004</v>
      </c>
      <c r="I209" s="7" t="s">
        <v>232</v>
      </c>
      <c r="J209" s="10" t="s">
        <v>233</v>
      </c>
      <c r="K209" t="str">
        <f>HYPERLINK("http://www8.mpce.mp.br/Empenhos/150501/NE/2024NE000098.pdf","2024NE000098")</f>
        <v>2024NE000098</v>
      </c>
      <c r="L209" s="13">
        <v>1387.47</v>
      </c>
      <c r="M209" t="s">
        <v>144</v>
      </c>
      <c r="N209">
        <v>22588967000179</v>
      </c>
    </row>
    <row r="210" spans="1:14" ht="51" x14ac:dyDescent="0.25">
      <c r="A210" s="12" t="s">
        <v>34</v>
      </c>
      <c r="B210" s="2" t="s">
        <v>356</v>
      </c>
      <c r="C210" s="3" t="str">
        <f>HYPERLINK("http://www8.mpce.mp.br/Dispensa/1320920133.pdf","13209/2013-3")</f>
        <v>13209/2013-3</v>
      </c>
      <c r="D210" s="4">
        <v>45369</v>
      </c>
      <c r="E210" s="16" t="str">
        <f>HYPERLINK("https://www8.mpce.mp.br/Empenhos/150001/Objeto/43-2013.pdf","EMPENHO DO ALUGUEL DO MÊS DE ABRIL DE 2024, REF. AO IMÓVEL ONDE FUNCIONAM AS PROMOTORIAS DE JUSTIÇA DA COMARCA DE MORADA NOVA, CONF. CONTRATO Nº 043/2013/CPL/PGJ.")</f>
        <v>EMPENHO DO ALUGUEL DO MÊS DE ABRIL DE 2024, REF. AO IMÓVEL ONDE FUNCIONAM AS PROMOTORIAS DE JUSTIÇA DA COMARCA DE MORADA NOVA, CONF. CONTRATO Nº 043/2013/CPL/PGJ.</v>
      </c>
      <c r="F210" s="2" t="s">
        <v>161</v>
      </c>
      <c r="G210" s="5" t="str">
        <f>HYPERLINK("http://www8.mpce.mp.br/Empenhos/150501/NE/2024NE000270.pdf","2024NE000270")</f>
        <v>2024NE000270</v>
      </c>
      <c r="H210" s="6">
        <v>8150.28</v>
      </c>
      <c r="I210" s="7" t="s">
        <v>177</v>
      </c>
      <c r="J210" s="10" t="s">
        <v>178</v>
      </c>
      <c r="K210" t="str">
        <f>HYPERLINK("http://www8.mpce.mp.br/Empenhos/150501/NE/2024NE000099.pdf","2024NE000099")</f>
        <v>2024NE000099</v>
      </c>
      <c r="L210" s="13">
        <v>14000</v>
      </c>
      <c r="M210" t="s">
        <v>234</v>
      </c>
      <c r="N210">
        <v>29417319000107</v>
      </c>
    </row>
    <row r="211" spans="1:14" ht="51" x14ac:dyDescent="0.25">
      <c r="A211" s="12" t="s">
        <v>34</v>
      </c>
      <c r="B211" s="2" t="s">
        <v>334</v>
      </c>
      <c r="C211" s="3" t="str">
        <f>HYPERLINK("https://transparencia-area-fim.mpce.mp.br/#/consulta/processo/pastadigital/092021000079244","09.2021.00007924-4")</f>
        <v>09.2021.00007924-4</v>
      </c>
      <c r="D211" s="4">
        <v>45369</v>
      </c>
      <c r="E211" s="16" t="str">
        <f>HYPERLINK("https://www8.mpce.mp.br/Empenhos/150001/Objeto/27-2021.pdf","ALUGUEL DO IMÓVEL ONDE FUNCIONA A SEDE DAS PROMOTORIAS DE JUSTIÇA DA COMARCA DE EUSÉBIO, CONF. CONTRATO 027/2021, REF. ABR/2024, POR ESTIMATIVA.")</f>
        <v>ALUGUEL DO IMÓVEL ONDE FUNCIONA A SEDE DAS PROMOTORIAS DE JUSTIÇA DA COMARCA DE EUSÉBIO, CONF. CONTRATO 027/2021, REF. ABR/2024, POR ESTIMATIVA.</v>
      </c>
      <c r="F211" s="2" t="s">
        <v>116</v>
      </c>
      <c r="G211" s="5" t="str">
        <f>HYPERLINK("http://www8.mpce.mp.br/Empenhos/150501/NE/2024NE000271.pdf","2024NE000271")</f>
        <v>2024NE000271</v>
      </c>
      <c r="H211" s="6">
        <v>5546.1</v>
      </c>
      <c r="I211" s="7" t="s">
        <v>144</v>
      </c>
      <c r="J211" s="10" t="s">
        <v>145</v>
      </c>
      <c r="K211" t="str">
        <f>HYPERLINK("http://www8.mpce.mp.br/Empenhos/150501/NE/2024NE000100.pdf","2024NE000100")</f>
        <v>2024NE000100</v>
      </c>
      <c r="L211" s="13">
        <v>2188.0100000000002</v>
      </c>
      <c r="M211" t="s">
        <v>236</v>
      </c>
      <c r="N211">
        <v>49090674349</v>
      </c>
    </row>
    <row r="212" spans="1:14" ht="51" x14ac:dyDescent="0.25">
      <c r="A212" s="12" t="s">
        <v>34</v>
      </c>
      <c r="B212" s="2" t="s">
        <v>334</v>
      </c>
      <c r="C212" s="3" t="str">
        <f>HYPERLINK("https://transparencia-area-fim.mpce.mp.br/#/consulta/processo/pastadigital/092021000079244","09.2021.00007924-4")</f>
        <v>09.2021.00007924-4</v>
      </c>
      <c r="D212" s="4">
        <v>45369</v>
      </c>
      <c r="E212" s="16" t="str">
        <f>HYPERLINK("https://www8.mpce.mp.br/Empenhos/150001/Objeto/27-2021.pdf","TAXAS CONDOMINIAIS DO IMÓVEL ONDE FUNCIONA A SEDE DAS PROMOTORIAS DE JUSTIÇA DA COMARCA DE EUSÉBIO, CONF. CONTRATO 027/2021, REF. ABR/2024, POR ESTIMATIVA.")</f>
        <v>TAXAS CONDOMINIAIS DO IMÓVEL ONDE FUNCIONA A SEDE DAS PROMOTORIAS DE JUSTIÇA DA COMARCA DE EUSÉBIO, CONF. CONTRATO 027/2021, REF. ABR/2024, POR ESTIMATIVA.</v>
      </c>
      <c r="F212" s="2" t="s">
        <v>231</v>
      </c>
      <c r="G212" s="5" t="str">
        <f>HYPERLINK("http://www8.mpce.mp.br/Empenhos/150501/NE/2024NE000272.pdf","2024NE000272")</f>
        <v>2024NE000272</v>
      </c>
      <c r="H212" s="6">
        <v>1487.88</v>
      </c>
      <c r="I212" s="7" t="s">
        <v>144</v>
      </c>
      <c r="J212" s="10" t="s">
        <v>145</v>
      </c>
      <c r="K212" t="str">
        <f>HYPERLINK("http://www8.mpce.mp.br/Empenhos/150501/NE/2024NE000118.pdf","2024NE000118")</f>
        <v>2024NE000118</v>
      </c>
      <c r="L212" s="13">
        <v>39600</v>
      </c>
      <c r="M212" t="s">
        <v>238</v>
      </c>
      <c r="N212">
        <v>44231385000173</v>
      </c>
    </row>
    <row r="213" spans="1:14" ht="51" x14ac:dyDescent="0.25">
      <c r="A213" s="12" t="s">
        <v>34</v>
      </c>
      <c r="B213" s="2" t="s">
        <v>357</v>
      </c>
      <c r="C213" s="3" t="str">
        <f>HYPERLINK("http://www8.mpce.mp.br/Dispensa/6795020160.pdf","6795020160")</f>
        <v>6795020160</v>
      </c>
      <c r="D213" s="4">
        <v>45369</v>
      </c>
      <c r="E213" s="16" t="str">
        <f>HYPERLINK("https://www8.mpce.mp.br/Empenhos/150001/Objeto/08-2017.pdf"," EMPENHO DO ALUGUEL DO MÊS DE ABRIL DE 2024, REF. AO IMÓVEL ONDE FUNCIONAM AS PROMOTORIAS DE JUSTIÇA DA COMARCA DE JARDIM, RELATIVO AO CONTRATO Nº008/2017/PGJ.")</f>
        <v xml:space="preserve"> EMPENHO DO ALUGUEL DO MÊS DE ABRIL DE 2024, REF. AO IMÓVEL ONDE FUNCIONAM AS PROMOTORIAS DE JUSTIÇA DA COMARCA DE JARDIM, RELATIVO AO CONTRATO Nº008/2017/PGJ.</v>
      </c>
      <c r="F213" s="2" t="s">
        <v>161</v>
      </c>
      <c r="G213" s="5" t="str">
        <f>HYPERLINK("http://www8.mpce.mp.br/Empenhos/150501/NE/2024NE000273.pdf","2024NE000273")</f>
        <v>2024NE000273</v>
      </c>
      <c r="H213" s="6">
        <v>680.03</v>
      </c>
      <c r="I213" s="7" t="s">
        <v>219</v>
      </c>
      <c r="J213" s="10" t="s">
        <v>220</v>
      </c>
      <c r="K213" t="str">
        <f>HYPERLINK("http://www8.mpce.mp.br/Empenhos/150501/NE/2024NE000119.pdf","2024NE000119")</f>
        <v>2024NE000119</v>
      </c>
      <c r="L213" s="13">
        <v>54000</v>
      </c>
      <c r="M213" t="s">
        <v>240</v>
      </c>
      <c r="N213">
        <v>48444032000102</v>
      </c>
    </row>
    <row r="214" spans="1:14" ht="51" x14ac:dyDescent="0.25">
      <c r="A214" s="12" t="s">
        <v>34</v>
      </c>
      <c r="B214" s="2" t="s">
        <v>334</v>
      </c>
      <c r="C214" s="3" t="str">
        <f>HYPERLINK("https://transparencia-area-fim.mpce.mp.br/#/consulta/processo/pastadigital/092021000219739","09.2021.00021973-9")</f>
        <v>09.2021.00021973-9</v>
      </c>
      <c r="D214" s="4">
        <v>45369</v>
      </c>
      <c r="E214" s="16" t="str">
        <f>HYPERLINK("https://www8.mpce.mp.br/Empenhos/150001/Objeto/45-2021.pdf","ALUGUEL DO IMÓVEL ONDE FUNCIONA A SEDE DAS PROMOTORIAS DE JUSTIÇA DA COMARCA DE EUSÉBIO, CONF. CONTRATO 045/2021, REF. ABR/2024, POR ESTIMATIVA.")</f>
        <v>ALUGUEL DO IMÓVEL ONDE FUNCIONA A SEDE DAS PROMOTORIAS DE JUSTIÇA DA COMARCA DE EUSÉBIO, CONF. CONTRATO 045/2021, REF. ABR/2024, POR ESTIMATIVA.</v>
      </c>
      <c r="F214" s="2" t="s">
        <v>116</v>
      </c>
      <c r="G214" s="5" t="str">
        <f>HYPERLINK("http://www8.mpce.mp.br/Empenhos/150501/NE/2024NE000274.pdf","2024NE000274")</f>
        <v>2024NE000274</v>
      </c>
      <c r="H214" s="6">
        <v>1640.35</v>
      </c>
      <c r="I214" s="7" t="s">
        <v>144</v>
      </c>
      <c r="J214" s="10" t="s">
        <v>145</v>
      </c>
      <c r="K214" t="str">
        <f>HYPERLINK("http://www8.mpce.mp.br/Empenhos/150501/NE/2024NE000124.pdf","2024NE000124")</f>
        <v>2024NE000124</v>
      </c>
      <c r="L214" s="13">
        <v>135000</v>
      </c>
      <c r="M214" t="s">
        <v>244</v>
      </c>
      <c r="N214">
        <v>3773788000167</v>
      </c>
    </row>
    <row r="215" spans="1:14" ht="51" x14ac:dyDescent="0.25">
      <c r="A215" s="12" t="s">
        <v>34</v>
      </c>
      <c r="B215" s="2" t="s">
        <v>334</v>
      </c>
      <c r="C215" s="3" t="str">
        <f>HYPERLINK("https://transparencia-area-fim.mpce.mp.br/#/consulta/processo/pastadigital/092021000219739","09.2021.00021973-9")</f>
        <v>09.2021.00021973-9</v>
      </c>
      <c r="D215" s="4">
        <v>45369</v>
      </c>
      <c r="E215" s="16" t="str">
        <f>HYPERLINK("https://www8.mpce.mp.br/Empenhos/150001/Objeto/45-2021.pdf","TAXAS CONDOMINIAIS DO IMÓVEL ONDE FUNCIONA A SEDE DAS PROMOTORIAS DE JUSTIÇA DA COMARCA DE EUSÉBIO, CONF. CONTRATO 045/2021, REF. ABR/2024, POR ESTIMATIVA.")</f>
        <v>TAXAS CONDOMINIAIS DO IMÓVEL ONDE FUNCIONA A SEDE DAS PROMOTORIAS DE JUSTIÇA DA COMARCA DE EUSÉBIO, CONF. CONTRATO 045/2021, REF. ABR/2024, POR ESTIMATIVA.</v>
      </c>
      <c r="F215" s="2" t="s">
        <v>231</v>
      </c>
      <c r="G215" s="5" t="str">
        <f>HYPERLINK("http://www8.mpce.mp.br/Empenhos/150501/NE/2024NE000275.pdf","2024NE000275")</f>
        <v>2024NE000275</v>
      </c>
      <c r="H215" s="6">
        <v>462.49</v>
      </c>
      <c r="I215" s="7" t="s">
        <v>144</v>
      </c>
      <c r="J215" s="10" t="s">
        <v>145</v>
      </c>
      <c r="K215" t="str">
        <f>HYPERLINK("http://www8.mpce.mp.br/Empenhos/150501/NE/2024NE000124.pdf","2024NE000124")</f>
        <v>2024NE000124</v>
      </c>
      <c r="L215" s="13">
        <v>135000</v>
      </c>
      <c r="M215" t="s">
        <v>244</v>
      </c>
      <c r="N215">
        <v>3773788000167</v>
      </c>
    </row>
    <row r="216" spans="1:14" ht="51" x14ac:dyDescent="0.25">
      <c r="A216" s="12" t="s">
        <v>34</v>
      </c>
      <c r="B216" s="2" t="s">
        <v>358</v>
      </c>
      <c r="C216" s="3" t="str">
        <f>HYPERLINK("http://www8.mpce.mp.br/Dispensa/3642820165.pdf","36428/2016-5")</f>
        <v>36428/2016-5</v>
      </c>
      <c r="D216" s="4">
        <v>45369</v>
      </c>
      <c r="E216" s="16" t="str">
        <f>HYPERLINK("https://www8.mpce.mp.br/Empenhos/150001/Objeto/26-2017.pdf","EMPENHO DO ALUGUEL DO MÊS DE ABRIL DE 2024, REF. AO IMÓVEL ONDE FUNCIONAM AS PROMOTORIAS DE JUSTIÇA DA COMARCA DE MARANGUAPE, RELATIVO AO CONTRATO Nº 026/2017/PGJ.")</f>
        <v>EMPENHO DO ALUGUEL DO MÊS DE ABRIL DE 2024, REF. AO IMÓVEL ONDE FUNCIONAM AS PROMOTORIAS DE JUSTIÇA DA COMARCA DE MARANGUAPE, RELATIVO AO CONTRATO Nº 026/2017/PGJ.</v>
      </c>
      <c r="F216" s="2" t="s">
        <v>161</v>
      </c>
      <c r="G216" s="5" t="str">
        <f>HYPERLINK("http://www8.mpce.mp.br/Empenhos/150501/NE/2024NE000276.pdf","2024NE000276")</f>
        <v>2024NE000276</v>
      </c>
      <c r="H216" s="6">
        <v>5518.15</v>
      </c>
      <c r="I216" s="7" t="s">
        <v>205</v>
      </c>
      <c r="J216" s="10" t="s">
        <v>206</v>
      </c>
      <c r="K216" t="str">
        <f>HYPERLINK("http://www8.mpce.mp.br/Empenhos/150501/NE/2024NE000124.pdf","2024NE000124")</f>
        <v>2024NE000124</v>
      </c>
      <c r="L216" s="13">
        <v>135000</v>
      </c>
      <c r="M216" t="s">
        <v>244</v>
      </c>
      <c r="N216">
        <v>3773788000167</v>
      </c>
    </row>
    <row r="217" spans="1:14" ht="51" x14ac:dyDescent="0.25">
      <c r="A217" s="12" t="s">
        <v>9</v>
      </c>
      <c r="B217" s="2" t="s">
        <v>359</v>
      </c>
      <c r="C217" s="3" t="str">
        <f>HYPERLINK("https://transparencia-area-fim.mpce.mp.br/#/consulta/processo/pastadigital/092023000214163","09.2023.00021416-3")</f>
        <v>09.2023.00021416-3</v>
      </c>
      <c r="D217" s="4">
        <v>45369</v>
      </c>
      <c r="E217" s="16" t="str">
        <f>HYPERLINK("https://www8.mpce.mp.br/Empenhos/150001/Objeto/56-2023.pdf","ALUGUEL DO IMÓVEL ONDE FUNCIONA A SEDE DAS PROMOTORIAS DE JUSTIÇA DA COMARCA DE BATURITÉ, CONF. CONTRATO 056/2023, REF. ABR/2024, POR ESTIMATIVA.")</f>
        <v>ALUGUEL DO IMÓVEL ONDE FUNCIONA A SEDE DAS PROMOTORIAS DE JUSTIÇA DA COMARCA DE BATURITÉ, CONF. CONTRATO 056/2023, REF. ABR/2024, POR ESTIMATIVA.</v>
      </c>
      <c r="F217" s="2" t="s">
        <v>116</v>
      </c>
      <c r="G217" s="5" t="str">
        <f>HYPERLINK("http://www8.mpce.mp.br/Empenhos/150501/NE/2024NE000277.pdf","2024NE000277")</f>
        <v>2024NE000277</v>
      </c>
      <c r="H217" s="6">
        <v>5400</v>
      </c>
      <c r="I217" s="7" t="s">
        <v>156</v>
      </c>
      <c r="J217" s="10" t="s">
        <v>157</v>
      </c>
      <c r="K217" t="str">
        <f>HYPERLINK("http://www8.mpce.mp.br/Empenhos/150501/NE/2024NE000125.pdf","2024NE000125")</f>
        <v>2024NE000125</v>
      </c>
      <c r="L217" s="13">
        <v>1179298.5</v>
      </c>
      <c r="M217" t="s">
        <v>247</v>
      </c>
      <c r="N217">
        <v>5757597000218</v>
      </c>
    </row>
    <row r="218" spans="1:14" ht="51" x14ac:dyDescent="0.25">
      <c r="A218" s="12" t="s">
        <v>34</v>
      </c>
      <c r="B218" s="2" t="s">
        <v>360</v>
      </c>
      <c r="C218" s="3" t="str">
        <f>HYPERLINK("http://www8.mpce.mp.br/Dispensa/2150720189.pdf","21507/2018-9")</f>
        <v>21507/2018-9</v>
      </c>
      <c r="D218" s="4">
        <v>45365</v>
      </c>
      <c r="E218" s="16" t="str">
        <f>HYPERLINK("https://www8.mpce.mp.br/Empenhos/150001/Objeto/51-2019.pdf","EMPENHO DO ALUGUEL DO MÊS DE ABRIL DE 2024, REF. AO IMÓVEL ONDE FUNCIONAM AS PROMOTORIAS DE JUSTIÇA DA COMARCA DE VIÇOSA DO CEARÁ, CONF. CONTRATO Nº 051/2019/PGJ.")</f>
        <v>EMPENHO DO ALUGUEL DO MÊS DE ABRIL DE 2024, REF. AO IMÓVEL ONDE FUNCIONAM AS PROMOTORIAS DE JUSTIÇA DA COMARCA DE VIÇOSA DO CEARÁ, CONF. CONTRATO Nº 051/2019/PGJ.</v>
      </c>
      <c r="F218" s="2" t="s">
        <v>161</v>
      </c>
      <c r="G218" s="5" t="str">
        <f>HYPERLINK("http://www8.mpce.mp.br/Empenhos/150501/NE/2024NE000278.pdf","2024NE000278")</f>
        <v>2024NE000278</v>
      </c>
      <c r="H218" s="6">
        <v>2935.71</v>
      </c>
      <c r="I218" s="7" t="s">
        <v>179</v>
      </c>
      <c r="J218" s="10" t="s">
        <v>180</v>
      </c>
      <c r="K218" t="str">
        <f>HYPERLINK("http://www8.mpce.mp.br/Empenhos/150501/NE/2024NE000125.pdf","2024NE000125")</f>
        <v>2024NE000125</v>
      </c>
      <c r="L218" s="13">
        <v>1179298.5</v>
      </c>
      <c r="M218" t="s">
        <v>247</v>
      </c>
      <c r="N218">
        <v>5757597000218</v>
      </c>
    </row>
    <row r="219" spans="1:14" ht="51" x14ac:dyDescent="0.25">
      <c r="A219" s="12" t="s">
        <v>34</v>
      </c>
      <c r="B219" s="2" t="s">
        <v>334</v>
      </c>
      <c r="C219" s="3" t="str">
        <f>HYPERLINK("https://transparencia-area-fim.mpce.mp.br/#/consulta/processo/pastadigital/092022000091296","09.2022.00009129-6")</f>
        <v>09.2022.00009129-6</v>
      </c>
      <c r="D219" s="4">
        <v>45369</v>
      </c>
      <c r="E219" s="16" t="str">
        <f>HYPERLINK("https://www8.mpce.mp.br/Empenhos/150001/Objeto/33-2022.pdf","ALUGUEL DO IMÓVEL ONDE FUNCIONA A SEDE DAS PROMOTORIAS DE JUSTIÇA DA COMARCA DE VÁRZEA ALEGRE, CONF. CONTRATO 033/2022, REF. ABR/2024, POR ESTIMATIVA.")</f>
        <v>ALUGUEL DO IMÓVEL ONDE FUNCIONA A SEDE DAS PROMOTORIAS DE JUSTIÇA DA COMARCA DE VÁRZEA ALEGRE, CONF. CONTRATO 033/2022, REF. ABR/2024, POR ESTIMATIVA.</v>
      </c>
      <c r="F219" s="2" t="s">
        <v>161</v>
      </c>
      <c r="G219" s="5" t="str">
        <f>HYPERLINK("http://www8.mpce.mp.br/Empenhos/150501/NE/2024NE000280.pdf","2024NE000280")</f>
        <v>2024NE000280</v>
      </c>
      <c r="H219" s="6">
        <v>800</v>
      </c>
      <c r="I219" s="7" t="s">
        <v>197</v>
      </c>
      <c r="J219" s="10" t="s">
        <v>198</v>
      </c>
      <c r="K219" t="str">
        <f>HYPERLINK("http://www8.mpce.mp.br/Empenhos/150501/NE/2024NE000125.pdf","2024NE000125")</f>
        <v>2024NE000125</v>
      </c>
      <c r="L219" s="13">
        <v>1179298.5</v>
      </c>
      <c r="M219" t="s">
        <v>247</v>
      </c>
      <c r="N219">
        <v>5757597000218</v>
      </c>
    </row>
    <row r="220" spans="1:14" ht="51" x14ac:dyDescent="0.25">
      <c r="A220" s="12" t="s">
        <v>9</v>
      </c>
      <c r="B220" s="2" t="s">
        <v>361</v>
      </c>
      <c r="C220" s="3" t="str">
        <f>HYPERLINK("https://transparencia-area-fim.mpce.mp.br/#/consulta/processo/pastadigital/092022000371847","09.2022.00037184-7")</f>
        <v>09.2022.00037184-7</v>
      </c>
      <c r="D220" s="4">
        <v>45369</v>
      </c>
      <c r="E220" s="16" t="str">
        <f>HYPERLINK("https://www8.mpce.mp.br/Empenhos/150001/Objeto/44-2023.pdf","ALUGUEL DO IMÓVEL ONDE FUNCIONA A SEDE DAS PROMOTORIAS DE JUSTIÇA DA COMARCA DE MARCO-CE, CONF. CONTRATO 044/2023, REF. ABR/2024, POR ESTIMATIVA.")</f>
        <v>ALUGUEL DO IMÓVEL ONDE FUNCIONA A SEDE DAS PROMOTORIAS DE JUSTIÇA DA COMARCA DE MARCO-CE, CONF. CONTRATO 044/2023, REF. ABR/2024, POR ESTIMATIVA.</v>
      </c>
      <c r="F220" s="2" t="s">
        <v>161</v>
      </c>
      <c r="G220" s="5" t="str">
        <f>HYPERLINK("http://www8.mpce.mp.br/Empenhos/150501/NE/2024NE000281.pdf","2024NE000281")</f>
        <v>2024NE000281</v>
      </c>
      <c r="H220" s="6">
        <v>1200</v>
      </c>
      <c r="I220" s="7" t="s">
        <v>182</v>
      </c>
      <c r="J220" s="10" t="s">
        <v>183</v>
      </c>
      <c r="K220" t="str">
        <f>HYPERLINK("http://www8.mpce.mp.br/Empenhos/150501/NE/2024NE000126.pdf","2024NE000126")</f>
        <v>2024NE000126</v>
      </c>
      <c r="L220" s="13">
        <v>18649.259999999998</v>
      </c>
      <c r="M220" t="s">
        <v>244</v>
      </c>
      <c r="N220">
        <v>3773788000167</v>
      </c>
    </row>
    <row r="221" spans="1:14" ht="51" x14ac:dyDescent="0.25">
      <c r="A221" s="12" t="s">
        <v>34</v>
      </c>
      <c r="B221" s="2" t="s">
        <v>362</v>
      </c>
      <c r="C221" s="3" t="str">
        <f>HYPERLINK("https://transparencia-area-fim.mpce.mp.br/#/consulta/processo/pastadigital/092021000166790","09.2021.00016679-0")</f>
        <v>09.2021.00016679-0</v>
      </c>
      <c r="D221" s="4">
        <v>45369</v>
      </c>
      <c r="E221" s="16" t="str">
        <f>HYPERLINK("https://www8.mpce.mp.br/Empenhos/150001/Objeto/24-2022.pdf","ALUGUEL DO IMÓVEL ONDE FUNCIONA A SEDE DAS PROMOTORIAS DE JUSTIÇA DA COMARCA DE HORIZONTE, CONF. CONTRATO 024/2022, REF. ABR/2024, POR ESTIMATIVA.")</f>
        <v>ALUGUEL DO IMÓVEL ONDE FUNCIONA A SEDE DAS PROMOTORIAS DE JUSTIÇA DA COMARCA DE HORIZONTE, CONF. CONTRATO 024/2022, REF. ABR/2024, POR ESTIMATIVA.</v>
      </c>
      <c r="F221" s="2" t="s">
        <v>161</v>
      </c>
      <c r="G221" s="5" t="str">
        <f>HYPERLINK("http://www8.mpce.mp.br/Empenhos/150501/NE/2024NE000283.pdf","2024NE000283")</f>
        <v>2024NE000283</v>
      </c>
      <c r="H221" s="6">
        <v>2400</v>
      </c>
      <c r="I221" s="7" t="s">
        <v>209</v>
      </c>
      <c r="J221" s="10" t="s">
        <v>210</v>
      </c>
      <c r="K221" t="str">
        <f>HYPERLINK("http://www8.mpce.mp.br/Empenhos/150501/NE/2024NE000127.pdf","2024NE000127")</f>
        <v>2024NE000127</v>
      </c>
      <c r="L221">
        <v>589.08000000000004</v>
      </c>
      <c r="M221" t="s">
        <v>126</v>
      </c>
      <c r="N221">
        <v>20657685000150</v>
      </c>
    </row>
    <row r="222" spans="1:14" ht="51" x14ac:dyDescent="0.25">
      <c r="A222" s="12" t="s">
        <v>34</v>
      </c>
      <c r="B222" s="2" t="s">
        <v>363</v>
      </c>
      <c r="C222" s="3" t="str">
        <f>HYPERLINK("http://www8.mpce.mp.br/Dispensa/2330020195.pdf","23300/2019-5")</f>
        <v>23300/2019-5</v>
      </c>
      <c r="D222" s="4">
        <v>45369</v>
      </c>
      <c r="E222" s="16" t="str">
        <f>HYPERLINK("https://www8.mpce.mp.br/Empenhos/150001/Objeto/61-2019.pdf","EMPENHO DO ALUGUEL DO MÊS DE ABRIL DE 2024, REF. AO IMÓVEL ONDE FUNCIONAM AS PROMOTORIAS DE JUSTIÇA DA COMARCA DE ACARAÚ EM CONSONÂNCIA AO CONTRATO 061/2019/PGJ.")</f>
        <v>EMPENHO DO ALUGUEL DO MÊS DE ABRIL DE 2024, REF. AO IMÓVEL ONDE FUNCIONAM AS PROMOTORIAS DE JUSTIÇA DA COMARCA DE ACARAÚ EM CONSONÂNCIA AO CONTRATO 061/2019/PGJ.</v>
      </c>
      <c r="F222" s="2" t="s">
        <v>161</v>
      </c>
      <c r="G222" s="5" t="str">
        <f>HYPERLINK("http://www8.mpce.mp.br/Empenhos/150501/NE/2024NE000284.pdf","2024NE000284")</f>
        <v>2024NE000284</v>
      </c>
      <c r="H222" s="6">
        <v>1400</v>
      </c>
      <c r="I222" s="7" t="s">
        <v>173</v>
      </c>
      <c r="J222" s="10" t="s">
        <v>174</v>
      </c>
      <c r="K222" t="str">
        <f>HYPERLINK("http://www8.mpce.mp.br/Empenhos/150501/NE/2024NE000129.pdf","2024NE000129")</f>
        <v>2024NE000129</v>
      </c>
      <c r="L222" s="13">
        <v>6852.62</v>
      </c>
      <c r="M222" t="s">
        <v>126</v>
      </c>
      <c r="N222">
        <v>20657685000150</v>
      </c>
    </row>
    <row r="223" spans="1:14" ht="51" x14ac:dyDescent="0.25">
      <c r="A223" s="12" t="s">
        <v>34</v>
      </c>
      <c r="B223" s="2" t="s">
        <v>364</v>
      </c>
      <c r="C223" s="3" t="str">
        <f>HYPERLINK("https://transparencia-area-fim.mpce.mp.br/#/consulta/processo/pastadigital/092021000047808","09.2021.00004780-8")</f>
        <v>09.2021.00004780-8</v>
      </c>
      <c r="D223" s="4">
        <v>45369</v>
      </c>
      <c r="E223" s="16" t="str">
        <f>HYPERLINK("https://www8.mpce.mp.br/Empenhos/150001/Objeto/25-2021.pdf","EMPENHO DO ALUGUEL DO MÊS DE ABRIL DE 2024, REF. AO IMÓVEL ONDE FUNCIONAM AS PROMOTORIAS DE JUSTIÇA DA COMARCA DE ALTO SANTO, EM CONSONÂNCIA AO CONTRATO 025/2021/PGJ.")</f>
        <v>EMPENHO DO ALUGUEL DO MÊS DE ABRIL DE 2024, REF. AO IMÓVEL ONDE FUNCIONAM AS PROMOTORIAS DE JUSTIÇA DA COMARCA DE ALTO SANTO, EM CONSONÂNCIA AO CONTRATO 025/2021/PGJ.</v>
      </c>
      <c r="F223" s="2" t="s">
        <v>161</v>
      </c>
      <c r="G223" s="5" t="str">
        <f>HYPERLINK("http://www8.mpce.mp.br/Empenhos/150501/NE/2024NE000285.pdf","2024NE000285")</f>
        <v>2024NE000285</v>
      </c>
      <c r="H223" s="6">
        <v>1651.15</v>
      </c>
      <c r="I223" s="7" t="s">
        <v>207</v>
      </c>
      <c r="J223" s="10" t="s">
        <v>208</v>
      </c>
      <c r="K223" t="str">
        <f>HYPERLINK("http://www8.mpce.mp.br/Empenhos/150501/NE/2024NE000132.pdf","2024NE000132")</f>
        <v>2024NE000132</v>
      </c>
      <c r="L223" s="13">
        <v>51948.800000000003</v>
      </c>
      <c r="M223" t="s">
        <v>254</v>
      </c>
      <c r="N223">
        <v>8918421000108</v>
      </c>
    </row>
    <row r="224" spans="1:14" ht="51" x14ac:dyDescent="0.25">
      <c r="A224" s="12" t="s">
        <v>34</v>
      </c>
      <c r="B224" s="2" t="s">
        <v>365</v>
      </c>
      <c r="C224" s="3" t="str">
        <f>HYPERLINK("https://transparencia-area-fim.mpce.mp.br/#/consulta/processo/pastadigital/092021000121226","09.2021.00012122-6")</f>
        <v>09.2021.00012122-6</v>
      </c>
      <c r="D224" s="4">
        <v>45369</v>
      </c>
      <c r="E224" s="16" t="str">
        <f>HYPERLINK("https://www8.mpce.mp.br/Empenhos/150001/Objeto/34-2021.pdf","EMPENHO DO ALUGUEL DO MÊS DE ABRIL DE 2024, REF. AO IMÓVEL ONDE FUNCIONAM AS PROMOTORIAS DE JUSTIÇA DA COMARCA DE SÃO BENEDITO, EM ALUSÃO AO CONTRATO Nº 034/2021/PGJ.")</f>
        <v>EMPENHO DO ALUGUEL DO MÊS DE ABRIL DE 2024, REF. AO IMÓVEL ONDE FUNCIONAM AS PROMOTORIAS DE JUSTIÇA DA COMARCA DE SÃO BENEDITO, EM ALUSÃO AO CONTRATO Nº 034/2021/PGJ.</v>
      </c>
      <c r="F224" s="2" t="s">
        <v>161</v>
      </c>
      <c r="G224" s="5" t="str">
        <f>HYPERLINK("http://www8.mpce.mp.br/Empenhos/150501/NE/2024NE000286.pdf","2024NE000286")</f>
        <v>2024NE000286</v>
      </c>
      <c r="H224" s="6">
        <v>2823.27</v>
      </c>
      <c r="I224" s="7" t="s">
        <v>193</v>
      </c>
      <c r="J224" s="10" t="s">
        <v>194</v>
      </c>
      <c r="K224" t="str">
        <f>HYPERLINK("http://www8.mpce.mp.br/Empenhos/150501/NE/2024NE000134.pdf","2024NE000134")</f>
        <v>2024NE000134</v>
      </c>
      <c r="L224" s="13">
        <v>151416</v>
      </c>
      <c r="M224" t="s">
        <v>244</v>
      </c>
      <c r="N224">
        <v>3773788000167</v>
      </c>
    </row>
    <row r="225" spans="1:14" ht="51" x14ac:dyDescent="0.25">
      <c r="A225" s="12" t="s">
        <v>34</v>
      </c>
      <c r="B225" s="2" t="s">
        <v>366</v>
      </c>
      <c r="C225" s="3" t="str">
        <f>HYPERLINK("https://transparencia-area-fim.mpce.mp.br/#/consulta/processo/pastadigital/092022000264193","09.2022.00026419-3")</f>
        <v>09.2022.00026419-3</v>
      </c>
      <c r="D225" s="4">
        <v>45369</v>
      </c>
      <c r="E225" s="16" t="str">
        <f>HYPERLINK("https://www8.mpce.mp.br/Empenhos/150001/Objeto/28-2022.pdf","EMPENHO DO ALUGUEL DO MÊS DE ABRIL DE 2024, REF.AO IMÓVEL ONDE FUNCIONAM AS PROMOTORIAS DE JUSTIÇA DA COMARCA DE AURORA, EM CONFORMIDADE AO CONTRATO Nº 028/2022/PGJ.")</f>
        <v>EMPENHO DO ALUGUEL DO MÊS DE ABRIL DE 2024, REF.AO IMÓVEL ONDE FUNCIONAM AS PROMOTORIAS DE JUSTIÇA DA COMARCA DE AURORA, EM CONFORMIDADE AO CONTRATO Nº 028/2022/PGJ.</v>
      </c>
      <c r="F225" s="2" t="s">
        <v>161</v>
      </c>
      <c r="G225" s="5" t="str">
        <f>HYPERLINK("http://www8.mpce.mp.br/Empenhos/150501/NE/2024NE000287.pdf","2024NE000287")</f>
        <v>2024NE000287</v>
      </c>
      <c r="H225" s="6">
        <v>2000</v>
      </c>
      <c r="I225" s="7" t="s">
        <v>201</v>
      </c>
      <c r="J225" s="10" t="s">
        <v>202</v>
      </c>
      <c r="K225" t="str">
        <f>HYPERLINK("http://www8.mpce.mp.br/Empenhos/150501/NE/2024NE000134.pdf","2024NE000134")</f>
        <v>2024NE000134</v>
      </c>
      <c r="L225" s="13">
        <v>151416</v>
      </c>
      <c r="M225" t="s">
        <v>244</v>
      </c>
      <c r="N225">
        <v>3773788000167</v>
      </c>
    </row>
    <row r="226" spans="1:14" ht="51" x14ac:dyDescent="0.25">
      <c r="A226" s="12" t="s">
        <v>34</v>
      </c>
      <c r="B226" s="2" t="s">
        <v>367</v>
      </c>
      <c r="C226" s="3" t="str">
        <f>HYPERLINK("https://transparencia-area-fim.mpce.mp.br/#/consulta/processo/pastadigital/092022000276145","09.2022.00027614-5")</f>
        <v>09.2022.00027614-5</v>
      </c>
      <c r="D226" s="4">
        <v>45369</v>
      </c>
      <c r="E226" s="16" t="str">
        <f>HYPERLINK("https://www8.mpce.mp.br/Empenhos/150001/Objeto/36-2022.pdf","EMPENHO DO ALUGUEL DO MÊS DE ABRIL DE 2024, REF. AO IMÓVEL ONDE FUNCIONAM AS PROMOTORIAS DE JUSTIÇA DA COMARCA DE ARARIPE, EM CONFORMIDADE AO CONTRATO Nº 036/2022/PGJ.")</f>
        <v>EMPENHO DO ALUGUEL DO MÊS DE ABRIL DE 2024, REF. AO IMÓVEL ONDE FUNCIONAM AS PROMOTORIAS DE JUSTIÇA DA COMARCA DE ARARIPE, EM CONFORMIDADE AO CONTRATO Nº 036/2022/PGJ.</v>
      </c>
      <c r="F226" s="2" t="s">
        <v>161</v>
      </c>
      <c r="G226" s="5" t="str">
        <f>HYPERLINK("http://www8.mpce.mp.br/Empenhos/150501/NE/2024NE000288.pdf","2024NE000288")</f>
        <v>2024NE000288</v>
      </c>
      <c r="H226" s="6">
        <v>1500</v>
      </c>
      <c r="I226" s="7" t="s">
        <v>191</v>
      </c>
      <c r="J226" s="10" t="s">
        <v>192</v>
      </c>
      <c r="K226" t="str">
        <f>HYPERLINK("http://www8.mpce.mp.br/Empenhos/150501/NE/2024NE000134.pdf","2024NE000134")</f>
        <v>2024NE000134</v>
      </c>
      <c r="L226" s="13">
        <v>151416</v>
      </c>
      <c r="M226" t="s">
        <v>244</v>
      </c>
      <c r="N226">
        <v>3773788000167</v>
      </c>
    </row>
    <row r="227" spans="1:14" ht="51" x14ac:dyDescent="0.25">
      <c r="A227" s="12" t="s">
        <v>34</v>
      </c>
      <c r="B227" s="2" t="s">
        <v>368</v>
      </c>
      <c r="C227" s="3" t="str">
        <f>HYPERLINK("https://transparencia-area-fim.mpce.mp.br/#/consulta/processo/pastadigital/092022000110511","09.2022.00011051-1")</f>
        <v>09.2022.00011051-1</v>
      </c>
      <c r="D227" s="4">
        <v>45369</v>
      </c>
      <c r="E227" s="16" t="str">
        <f>HYPERLINK("https://www8.mpce.mp.br/Empenhos/150001/Objeto/38-2022.pdf","EMPENHO DO ALUGUEL DO MÊS DE ABRIL DE 2024, REF. AO IMÓVEL ONDE FUNCIONAM AS PROMOTORIAS DE JUSTIÇA DA COMARCA DE NOVA OLINDA, EM ALUSÃO AO CONTRATO Nº 038/2022/PGJ.")</f>
        <v>EMPENHO DO ALUGUEL DO MÊS DE ABRIL DE 2024, REF. AO IMÓVEL ONDE FUNCIONAM AS PROMOTORIAS DE JUSTIÇA DA COMARCA DE NOVA OLINDA, EM ALUSÃO AO CONTRATO Nº 038/2022/PGJ.</v>
      </c>
      <c r="F227" s="2" t="s">
        <v>161</v>
      </c>
      <c r="G227" s="5" t="str">
        <f>HYPERLINK("http://www8.mpce.mp.br/Empenhos/150501/NE/2024NE000289.pdf","2024NE000289")</f>
        <v>2024NE000289</v>
      </c>
      <c r="H227" s="6">
        <v>2000</v>
      </c>
      <c r="I227" s="7" t="s">
        <v>229</v>
      </c>
      <c r="J227" s="10" t="s">
        <v>230</v>
      </c>
      <c r="K227" t="str">
        <f>HYPERLINK("http://www8.mpce.mp.br/Empenhos/150501/NE/2024NE000134.pdf","2024NE000134")</f>
        <v>2024NE000134</v>
      </c>
      <c r="L227" s="13">
        <v>151416</v>
      </c>
      <c r="M227" t="s">
        <v>244</v>
      </c>
      <c r="N227">
        <v>3773788000167</v>
      </c>
    </row>
    <row r="228" spans="1:14" ht="51" x14ac:dyDescent="0.25">
      <c r="A228" s="12" t="s">
        <v>9</v>
      </c>
      <c r="B228" s="2" t="s">
        <v>369</v>
      </c>
      <c r="C228" s="3" t="str">
        <f>HYPERLINK("https://transparencia-area-fim.mpce.mp.br/#/consulta/processo/pastadigital/092022000426227","09.2022.00042622-7")</f>
        <v>09.2022.00042622-7</v>
      </c>
      <c r="D228" s="4">
        <v>45369</v>
      </c>
      <c r="E228" s="16" t="str">
        <f>HYPERLINK("https://www8.mpce.mp.br/Empenhos/150001/Objeto/33-2023.pdf","EMPENHO DO ALUGUEL DO MÊS DE ABRIL DE 2024, REF. AO IMÓVEL ONDE FUNCIONAM AS PROMOTORIAS DE JUSTIÇA DA COMARCA DE JUCÁS RELATIVO AO CONTRATO 033/2023/PGJ.")</f>
        <v>EMPENHO DO ALUGUEL DO MÊS DE ABRIL DE 2024, REF. AO IMÓVEL ONDE FUNCIONAM AS PROMOTORIAS DE JUSTIÇA DA COMARCA DE JUCÁS RELATIVO AO CONTRATO 033/2023/PGJ.</v>
      </c>
      <c r="F228" s="2" t="s">
        <v>161</v>
      </c>
      <c r="G228" s="5" t="str">
        <f>HYPERLINK("http://www8.mpce.mp.br/Empenhos/150501/NE/2024NE000290.pdf","2024NE000290")</f>
        <v>2024NE000290</v>
      </c>
      <c r="H228" s="6">
        <v>2500</v>
      </c>
      <c r="I228" s="7" t="s">
        <v>195</v>
      </c>
      <c r="J228" s="10" t="s">
        <v>196</v>
      </c>
      <c r="K228" t="str">
        <f>HYPERLINK("http://www8.mpce.mp.br/Empenhos/150501/NE/2024NE000137.pdf","2024NE000137")</f>
        <v>2024NE000137</v>
      </c>
      <c r="L228">
        <v>900</v>
      </c>
      <c r="M228" t="s">
        <v>257</v>
      </c>
      <c r="N228">
        <v>33757000181</v>
      </c>
    </row>
    <row r="229" spans="1:14" ht="51" x14ac:dyDescent="0.25">
      <c r="A229" s="12" t="s">
        <v>9</v>
      </c>
      <c r="B229" s="2" t="s">
        <v>301</v>
      </c>
      <c r="C229" s="3" t="str">
        <f>HYPERLINK("https://transparencia-area-fim.mpce.mp.br/#/consulta/processo/pastadigital/092022000083885","09.2022.00008388-5")</f>
        <v>09.2022.00008388-5</v>
      </c>
      <c r="D229" s="4">
        <v>45369</v>
      </c>
      <c r="E229" s="16" t="str">
        <f>HYPERLINK("https://www8.mpce.mp.br/Empenhos/150001/Objeto/36-2023.pdf","EMPENHO DO ALUGUEL DO MÊS DE ABRIL DE 2024, REF. AO IMÓVEL ONDE FUNCIONAM AS PROMOTORIAS DE JUSTIÇA DA COMARCA DE SOLONÓPOLE, RELATIVO AO CONTRATO Nº 036/2023/PGJ.")</f>
        <v>EMPENHO DO ALUGUEL DO MÊS DE ABRIL DE 2024, REF. AO IMÓVEL ONDE FUNCIONAM AS PROMOTORIAS DE JUSTIÇA DA COMARCA DE SOLONÓPOLE, RELATIVO AO CONTRATO Nº 036/2023/PGJ.</v>
      </c>
      <c r="F229" s="2" t="s">
        <v>161</v>
      </c>
      <c r="G229" s="5" t="str">
        <f>HYPERLINK("http://www8.mpce.mp.br/Empenhos/150501/NE/2024NE000291.pdf","2024NE000291")</f>
        <v>2024NE000291</v>
      </c>
      <c r="H229" s="6">
        <v>3897.24</v>
      </c>
      <c r="I229" s="7" t="s">
        <v>188</v>
      </c>
      <c r="J229" s="10" t="s">
        <v>189</v>
      </c>
      <c r="K229" t="str">
        <f>HYPERLINK("http://www8.mpce.mp.br/Empenhos/150501/NE/2024NE000138.pdf","2024NE000138")</f>
        <v>2024NE000138</v>
      </c>
      <c r="L229" s="13">
        <v>67691.039999999994</v>
      </c>
      <c r="M229" t="s">
        <v>244</v>
      </c>
      <c r="N229">
        <v>3773788000167</v>
      </c>
    </row>
    <row r="230" spans="1:14" ht="51" x14ac:dyDescent="0.25">
      <c r="A230" s="12" t="s">
        <v>9</v>
      </c>
      <c r="B230" s="2" t="s">
        <v>370</v>
      </c>
      <c r="C230" s="3" t="str">
        <f>HYPERLINK("https://transparencia-area-fim.mpce.mp.br/#/consulta/processo/pastadigital/092022000409094","09.2022.00040909-4")</f>
        <v>09.2022.00040909-4</v>
      </c>
      <c r="D230" s="4">
        <v>45369</v>
      </c>
      <c r="E230" s="16" t="str">
        <f>HYPERLINK("https://www8.mpce.mp.br/Empenhos/150001/Objeto/41-2023.pdf","EMPENHO DO ALUGUEL DO MÊS DE ABRIL DE 2024, REF. AO IMÓVEL ONDE FUNCIONAM AS PROMOTORIAS DE JUSTIÇA DA COMARCA DE GUARACIABA DO NORTE, RELATIVO AO CONTRATO Nº 041/2023/PGJ.")</f>
        <v>EMPENHO DO ALUGUEL DO MÊS DE ABRIL DE 2024, REF. AO IMÓVEL ONDE FUNCIONAM AS PROMOTORIAS DE JUSTIÇA DA COMARCA DE GUARACIABA DO NORTE, RELATIVO AO CONTRATO Nº 041/2023/PGJ.</v>
      </c>
      <c r="F230" s="2" t="s">
        <v>161</v>
      </c>
      <c r="G230" s="5" t="str">
        <f>HYPERLINK("http://www8.mpce.mp.br/Empenhos/150501/NE/2024NE000292.pdf","2024NE000292")</f>
        <v>2024NE000292</v>
      </c>
      <c r="H230" s="6">
        <v>1550</v>
      </c>
      <c r="I230" s="7" t="s">
        <v>184</v>
      </c>
      <c r="J230" s="10" t="s">
        <v>185</v>
      </c>
      <c r="K230" t="str">
        <f>HYPERLINK("http://www8.mpce.mp.br/Empenhos/150501/NE/2024NE000139.pdf","2024NE000139")</f>
        <v>2024NE000139</v>
      </c>
      <c r="L230" s="13">
        <v>3302.3</v>
      </c>
      <c r="M230" t="s">
        <v>207</v>
      </c>
      <c r="N230">
        <v>50937197300</v>
      </c>
    </row>
    <row r="231" spans="1:14" ht="51" x14ac:dyDescent="0.25">
      <c r="A231" s="12" t="s">
        <v>34</v>
      </c>
      <c r="B231" s="2" t="s">
        <v>334</v>
      </c>
      <c r="C231" s="3" t="str">
        <f>HYPERLINK("http://www8.mpce.mp.br/Dispensa/2004820193.pdf","20048/2019-3")</f>
        <v>20048/2019-3</v>
      </c>
      <c r="D231" s="4">
        <v>45369</v>
      </c>
      <c r="E231" s="16" t="str">
        <f>HYPERLINK("https://www8.mpce.mp.br/Empenhos/150001/Objeto/84-2019.pdf","ALUGUEL DO MÓVEL ONDE FUNCIONA A SEDE DAS PROMOTORIAS DE JUSTIÇA DA COMARCA DE MOMBAÇA-CE, CONF. CONTRATO 084/2019, REF. ABR/2024, POR ESTIMATIVA.")</f>
        <v>ALUGUEL DO MÓVEL ONDE FUNCIONA A SEDE DAS PROMOTORIAS DE JUSTIÇA DA COMARCA DE MOMBAÇA-CE, CONF. CONTRATO 084/2019, REF. ABR/2024, POR ESTIMATIVA.</v>
      </c>
      <c r="F231" s="2" t="s">
        <v>161</v>
      </c>
      <c r="G231" s="5" t="str">
        <f>HYPERLINK("http://www8.mpce.mp.br/Empenhos/150501/NE/2024NE000293.pdf","2024NE000293")</f>
        <v>2024NE000293</v>
      </c>
      <c r="H231" s="6">
        <v>4000</v>
      </c>
      <c r="I231" s="7" t="s">
        <v>162</v>
      </c>
      <c r="J231" s="10" t="s">
        <v>163</v>
      </c>
      <c r="K231" t="str">
        <f>HYPERLINK("http://www8.mpce.mp.br/Empenhos/150501/NE/2024NE000140.pdf","2024NE000140")</f>
        <v>2024NE000140</v>
      </c>
      <c r="L231" s="13">
        <v>2160.44</v>
      </c>
      <c r="M231" t="s">
        <v>199</v>
      </c>
      <c r="N231">
        <v>4514670359</v>
      </c>
    </row>
    <row r="232" spans="1:14" ht="51" x14ac:dyDescent="0.25">
      <c r="A232" s="12" t="s">
        <v>34</v>
      </c>
      <c r="B232" s="2" t="s">
        <v>334</v>
      </c>
      <c r="C232" s="3" t="str">
        <f>HYPERLINK("http://www8.mpce.mp.br/Dispensa/1955220197.pdf","19552/2019-7")</f>
        <v>19552/2019-7</v>
      </c>
      <c r="D232" s="4">
        <v>45369</v>
      </c>
      <c r="E232" s="16" t="str">
        <f>HYPERLINK("https://www8.mpce.mp.br/Empenhos/150001/Objeto/85-2019.pdf","ALUGUEL DO IMÓVEL ONDE FUNCIONA A SEDE DAS PROMOTORIAS DE JUSTIÇA DA COMARCA DE PARAIPABA, CONF. CONTRATO 085/2019, REF. ABR/2024, POR ESTIMATIVA.")</f>
        <v>ALUGUEL DO IMÓVEL ONDE FUNCIONA A SEDE DAS PROMOTORIAS DE JUSTIÇA DA COMARCA DE PARAIPABA, CONF. CONTRATO 085/2019, REF. ABR/2024, POR ESTIMATIVA.</v>
      </c>
      <c r="F232" s="2" t="s">
        <v>161</v>
      </c>
      <c r="G232" s="5" t="str">
        <f>HYPERLINK("http://www8.mpce.mp.br/Empenhos/150501/NE/2024NE000294.pdf","2024NE000294")</f>
        <v>2024NE000294</v>
      </c>
      <c r="H232" s="6">
        <v>1306.7</v>
      </c>
      <c r="I232" s="7" t="s">
        <v>186</v>
      </c>
      <c r="J232" s="10" t="s">
        <v>187</v>
      </c>
      <c r="K232" t="str">
        <f>HYPERLINK("http://www8.mpce.mp.br/Empenhos/150501/NE/2024NE000142.pdf","2024NE000142")</f>
        <v>2024NE000142</v>
      </c>
      <c r="L232" s="13">
        <v>63000</v>
      </c>
      <c r="M232" t="s">
        <v>263</v>
      </c>
      <c r="N232">
        <v>3888247000184</v>
      </c>
    </row>
    <row r="233" spans="1:14" ht="51" x14ac:dyDescent="0.25">
      <c r="A233" s="12" t="s">
        <v>34</v>
      </c>
      <c r="B233" s="2" t="s">
        <v>334</v>
      </c>
      <c r="C233" s="3" t="str">
        <f>HYPERLINK("http://www8.mpce.mp.br/Dispensa/4503020176.pdf","45030/2017-6")</f>
        <v>45030/2017-6</v>
      </c>
      <c r="D233" s="4">
        <v>45369</v>
      </c>
      <c r="E233" s="16" t="str">
        <f>HYPERLINK("https://www8.mpce.mp.br/Empenhos/150001/Objeto/74-2019.pdf","ALUGUEL DO IMÓVEL ONDE FUNCIONA A SEDE DAS PROMOTORIAS DE JUSTIÇA DA COMARCA DE GRANJA, CONF. CONTRATO 074/2019, REF. ABR/2024, POR ESTIMATIVA.")</f>
        <v>ALUGUEL DO IMÓVEL ONDE FUNCIONA A SEDE DAS PROMOTORIAS DE JUSTIÇA DA COMARCA DE GRANJA, CONF. CONTRATO 074/2019, REF. ABR/2024, POR ESTIMATIVA.</v>
      </c>
      <c r="F233" s="2" t="s">
        <v>161</v>
      </c>
      <c r="G233" s="5" t="str">
        <f>HYPERLINK("http://www8.mpce.mp.br/Empenhos/150501/NE/2024NE000295.pdf","2024NE000295")</f>
        <v>2024NE000295</v>
      </c>
      <c r="H233" s="6">
        <v>2188.0100000000002</v>
      </c>
      <c r="I233" s="7" t="s">
        <v>236</v>
      </c>
      <c r="J233" s="10" t="s">
        <v>237</v>
      </c>
      <c r="K233" t="str">
        <f>HYPERLINK("http://www8.mpce.mp.br/Empenhos/150501/NE/2024NE000144.pdf","2024NE000144")</f>
        <v>2024NE000144</v>
      </c>
      <c r="L233" s="13">
        <v>229493.82</v>
      </c>
      <c r="M233" t="s">
        <v>126</v>
      </c>
      <c r="N233">
        <v>20657685000150</v>
      </c>
    </row>
    <row r="234" spans="1:14" ht="51" x14ac:dyDescent="0.25">
      <c r="A234" s="12" t="s">
        <v>34</v>
      </c>
      <c r="B234" s="2" t="s">
        <v>334</v>
      </c>
      <c r="C234" s="3" t="str">
        <f>HYPERLINK("http://www8.mpce.mp.br/Dispensa/2887720171.pdf","28877/2017-1")</f>
        <v>28877/2017-1</v>
      </c>
      <c r="D234" s="4">
        <v>45369</v>
      </c>
      <c r="E234" s="16" t="str">
        <f>HYPERLINK("https://www8.mpce.mp.br/Empenhos/150001/Objeto/24-2019.pdf","ALUGUEL DO IMÓVEL ONDE FUNCIONA A SEDE DAS PROMOTORIAS DE JUSTIÇA DA COMARCA DE JAGUARIBE, CONF. CONTRATO 024/2019, REF. MAR/2024, POR ESTIMATIVA.")</f>
        <v>ALUGUEL DO IMÓVEL ONDE FUNCIONA A SEDE DAS PROMOTORIAS DE JUSTIÇA DA COMARCA DE JAGUARIBE, CONF. CONTRATO 024/2019, REF. MAR/2024, POR ESTIMATIVA.</v>
      </c>
      <c r="F234" s="2" t="s">
        <v>116</v>
      </c>
      <c r="G234" s="5" t="str">
        <f>HYPERLINK("http://www8.mpce.mp.br/Empenhos/150501/NE/2024NE000296.pdf","2024NE000296")</f>
        <v>2024NE000296</v>
      </c>
      <c r="H234" s="6">
        <v>1431.35</v>
      </c>
      <c r="I234" s="7" t="s">
        <v>140</v>
      </c>
      <c r="J234" s="10" t="s">
        <v>141</v>
      </c>
      <c r="K234" t="str">
        <f>HYPERLINK("http://www8.mpce.mp.br/Empenhos/150501/NE/2024NE000145.pdf","2024NE000145")</f>
        <v>2024NE000145</v>
      </c>
      <c r="L234" s="13">
        <v>4044.06</v>
      </c>
      <c r="M234" t="s">
        <v>213</v>
      </c>
      <c r="N234">
        <v>65652827300</v>
      </c>
    </row>
    <row r="235" spans="1:14" ht="51" x14ac:dyDescent="0.25">
      <c r="A235" s="12" t="s">
        <v>34</v>
      </c>
      <c r="B235" s="2" t="s">
        <v>334</v>
      </c>
      <c r="C235" s="3" t="str">
        <f>HYPERLINK("http://www8.mpce.mp.br/Dispensa/2887720171.pdf","28877/2017-1")</f>
        <v>28877/2017-1</v>
      </c>
      <c r="D235" s="4">
        <v>45369</v>
      </c>
      <c r="E235" s="16" t="str">
        <f>HYPERLINK("https://www8.mpce.mp.br/Empenhos/150001/Objeto/24-2019.pdf","ALUGUEL DO IMÓVEL ONDE FUNCIONA A SEDE DAS PROMOTORIAS DE JUSTIÇA DA COMARCA DE JAGUARIBE, CONF. CONTRATO 024/2019, REF. ABR/2024, POR ESTIMATIVA.")</f>
        <v>ALUGUEL DO IMÓVEL ONDE FUNCIONA A SEDE DAS PROMOTORIAS DE JUSTIÇA DA COMARCA DE JAGUARIBE, CONF. CONTRATO 024/2019, REF. ABR/2024, POR ESTIMATIVA.</v>
      </c>
      <c r="F235" s="2" t="s">
        <v>116</v>
      </c>
      <c r="G235" s="5" t="str">
        <f>HYPERLINK("http://www8.mpce.mp.br/Empenhos/150501/NE/2024NE000297.pdf","2024NE000297")</f>
        <v>2024NE000297</v>
      </c>
      <c r="H235" s="6">
        <v>1431.35</v>
      </c>
      <c r="I235" s="7" t="s">
        <v>140</v>
      </c>
      <c r="J235" s="10" t="s">
        <v>141</v>
      </c>
      <c r="K235" t="str">
        <f>HYPERLINK("http://www8.mpce.mp.br/Empenhos/150501/NE/2024NE000146.pdf","2024NE000146")</f>
        <v>2024NE000146</v>
      </c>
      <c r="L235" s="13">
        <v>11200</v>
      </c>
      <c r="M235" t="s">
        <v>123</v>
      </c>
      <c r="N235">
        <v>12255352000177</v>
      </c>
    </row>
    <row r="236" spans="1:14" ht="51" x14ac:dyDescent="0.25">
      <c r="A236" s="12" t="s">
        <v>9</v>
      </c>
      <c r="B236" s="2" t="s">
        <v>371</v>
      </c>
      <c r="C236" s="3" t="str">
        <f>HYPERLINK("https://transparencia-area-fim.mpce.mp.br/#/consulta/processo/pastadigital/092024000011043","09.2024.00001104-3")</f>
        <v>09.2024.00001104-3</v>
      </c>
      <c r="D236" s="4">
        <v>45351</v>
      </c>
      <c r="E236" s="16" t="s">
        <v>372</v>
      </c>
      <c r="F236" s="2" t="s">
        <v>373</v>
      </c>
      <c r="G236" s="5" t="str">
        <f>HYPERLINK("http://www8.mpce.mp.br/Empenhos/150001/NE/2024NE000297.pdf","2024NE000297")</f>
        <v>2024NE000297</v>
      </c>
      <c r="H236" s="6">
        <v>24000</v>
      </c>
      <c r="I236" s="7" t="s">
        <v>374</v>
      </c>
      <c r="J236" s="10" t="s">
        <v>838</v>
      </c>
      <c r="K236" t="str">
        <f>HYPERLINK("http://www8.mpce.mp.br/Empenhos/150501/NE/2024NE000147.pdf","2024NE000147")</f>
        <v>2024NE000147</v>
      </c>
      <c r="L236" s="13">
        <v>4000</v>
      </c>
      <c r="M236" t="s">
        <v>221</v>
      </c>
      <c r="N236">
        <v>81514034891</v>
      </c>
    </row>
    <row r="237" spans="1:14" ht="63.75" x14ac:dyDescent="0.25">
      <c r="A237" s="12" t="s">
        <v>9</v>
      </c>
      <c r="B237" s="2" t="s">
        <v>375</v>
      </c>
      <c r="C237" s="3" t="str">
        <f>HYPERLINK("https://transparencia-area-fim.mpce.mp.br/#/consulta/processo/pastadigital/092023000396910","09.2023.00039691-0")</f>
        <v>09.2023.00039691-0</v>
      </c>
      <c r="D237" s="4">
        <v>45369</v>
      </c>
      <c r="E237" s="16" t="str">
        <f>HYPERLINK("https://www8.mpce.mp.br/Empenhos/150001/Objeto/19-2024.pdf","FORNECIMENTO DE 700 (SETECENTAS) LICENÇAS DE ACESSO À PLATAFORMA ON-LINE DE CURSOS DE APERFEIÇOAMENTO/TREINAMENTO ESPECIALIZADO, CONF. PROC. DE INEXIGIBILIDADE 09.2023.00039691-0 E PROJETO 067/2023, REF. 2024.")</f>
        <v>FORNECIMENTO DE 700 (SETECENTAS) LICENÇAS DE ACESSO À PLATAFORMA ON-LINE DE CURSOS DE APERFEIÇOAMENTO/TREINAMENTO ESPECIALIZADO, CONF. PROC. DE INEXIGIBILIDADE 09.2023.00039691-0 E PROJETO 067/2023, REF. 2024.</v>
      </c>
      <c r="F237" s="2" t="s">
        <v>109</v>
      </c>
      <c r="G237" s="5" t="str">
        <f>HYPERLINK("http://www8.mpce.mp.br/Empenhos/150501/NE/2024NE000301.pdf","2024NE000301")</f>
        <v>2024NE000301</v>
      </c>
      <c r="H237" s="6">
        <v>682500</v>
      </c>
      <c r="I237" s="7" t="s">
        <v>376</v>
      </c>
      <c r="J237" s="10" t="s">
        <v>839</v>
      </c>
      <c r="K237" t="str">
        <f>HYPERLINK("http://www8.mpce.mp.br/Empenhos/150501/NE/2024NE000149.pdf","2024NE000149")</f>
        <v>2024NE000149</v>
      </c>
      <c r="L237" s="13">
        <v>27224</v>
      </c>
      <c r="M237" t="s">
        <v>129</v>
      </c>
      <c r="N237">
        <v>32697604000125</v>
      </c>
    </row>
    <row r="238" spans="1:14" ht="51" x14ac:dyDescent="0.25">
      <c r="A238" s="12" t="s">
        <v>34</v>
      </c>
      <c r="B238" s="2" t="s">
        <v>334</v>
      </c>
      <c r="C238" s="3" t="str">
        <f>HYPERLINK("https://transparencia-area-fim.mpce.mp.br/#/consulta/processo/pastadigital/092021000155016","09.2021.00015501-6")</f>
        <v>09.2021.00015501-6</v>
      </c>
      <c r="D238" s="4">
        <v>45369</v>
      </c>
      <c r="E238" s="16" t="str">
        <f>HYPERLINK("https://www8.mpce.mp.br/Empenhos/150001/Objeto/26-2021.pdf","ALUGUEL DO IMÓVEL ONDE FUNCIONA A SEDE DAS PROMOTORIAS DE JUSTIÇA DA COMARCA DE BREJO SANTO, CONF. CONTRATO 026/2021, REF. ABR/2024, POR ESTIMATIVA.")</f>
        <v>ALUGUEL DO IMÓVEL ONDE FUNCIONA A SEDE DAS PROMOTORIAS DE JUSTIÇA DA COMARCA DE BREJO SANTO, CONF. CONTRATO 026/2021, REF. ABR/2024, POR ESTIMATIVA.</v>
      </c>
      <c r="F238" s="2" t="s">
        <v>161</v>
      </c>
      <c r="G238" s="5" t="str">
        <f>HYPERLINK("http://www8.mpce.mp.br/Empenhos/150501/NE/2024NE000303.pdf","2024NE000303")</f>
        <v>2024NE000303</v>
      </c>
      <c r="H238" s="6">
        <v>2601.5500000000002</v>
      </c>
      <c r="I238" s="7" t="s">
        <v>203</v>
      </c>
      <c r="J238" s="10" t="s">
        <v>204</v>
      </c>
      <c r="K238" t="str">
        <f>HYPERLINK("http://www8.mpce.mp.br/Empenhos/150501/NE/2024NE000150.pdf","2024NE000150")</f>
        <v>2024NE000150</v>
      </c>
      <c r="L238" s="13">
        <v>41800</v>
      </c>
      <c r="M238" t="s">
        <v>129</v>
      </c>
      <c r="N238">
        <v>32697604000125</v>
      </c>
    </row>
    <row r="239" spans="1:14" ht="51" x14ac:dyDescent="0.25">
      <c r="A239" s="12" t="s">
        <v>34</v>
      </c>
      <c r="B239" s="2" t="s">
        <v>334</v>
      </c>
      <c r="C239" s="3" t="str">
        <f>HYPERLINK("http://www8.mpce.mp.br/Dispensa/146020136.pdf","1460/2013-6")</f>
        <v>1460/2013-6</v>
      </c>
      <c r="D239" s="4">
        <v>45373</v>
      </c>
      <c r="E239" s="16" t="str">
        <f>HYPERLINK("https://www8.mpce.mp.br/Empenhos/150001/Objeto/39-2013.pdf","ALUGUEL DO IMÓVEL ONDE FUNCIONA A SEDE DAS PROMOTORIAS DE JUSTIÇA DA COMARCA DE CASCAVEL, CONF. CONTRATO 039/2013, REF. FEV E MAR/2024, POR ESTIMATIVA.")</f>
        <v>ALUGUEL DO IMÓVEL ONDE FUNCIONA A SEDE DAS PROMOTORIAS DE JUSTIÇA DA COMARCA DE CASCAVEL, CONF. CONTRATO 039/2013, REF. FEV E MAR/2024, POR ESTIMATIVA.</v>
      </c>
      <c r="F239" s="2" t="s">
        <v>161</v>
      </c>
      <c r="G239" s="5" t="str">
        <f>HYPERLINK("http://www8.mpce.mp.br/Empenhos/150501/NE/2024NE000309.pdf","2024NE000309")</f>
        <v>2024NE000309</v>
      </c>
      <c r="H239" s="6">
        <v>8683.1200000000008</v>
      </c>
      <c r="I239" s="7" t="s">
        <v>232</v>
      </c>
      <c r="J239" s="10" t="s">
        <v>233</v>
      </c>
      <c r="K239" t="str">
        <f>HYPERLINK("http://www8.mpce.mp.br/Empenhos/150501/NE/2024NE000151.pdf","2024NE000151")</f>
        <v>2024NE000151</v>
      </c>
      <c r="L239" s="13">
        <v>37800</v>
      </c>
      <c r="M239" t="s">
        <v>129</v>
      </c>
      <c r="N239">
        <v>32697604000125</v>
      </c>
    </row>
    <row r="240" spans="1:14" ht="51" x14ac:dyDescent="0.25">
      <c r="A240" s="12" t="s">
        <v>34</v>
      </c>
      <c r="B240" s="2" t="s">
        <v>377</v>
      </c>
      <c r="C240" s="3" t="str">
        <f>HYPERLINK("http://www8.mpce.mp.br/Dispensa/4572720144.pdf","45727/2014-4")</f>
        <v>45727/2014-4</v>
      </c>
      <c r="D240" s="4">
        <v>45377</v>
      </c>
      <c r="E240" s="16" t="str">
        <f>HYPERLINK("https://www8.mpce.mp.br/Empenhos/150001/Objeto/01-2015.pdf","RETROATIVO DAS TAXAS CONDOMINIAIS DOS MESES DE JANEIRO A MARÇO DE 2024, REF. AO IMÓVEL ONDE FUNCIONAM AS PROMOTORIAS DE JUSTIÇA DA COMARCA DE JUAZEIRO DO NORTE, CONF. CONTRATO Nº 001/2015.")</f>
        <v>RETROATIVO DAS TAXAS CONDOMINIAIS DOS MESES DE JANEIRO A MARÇO DE 2024, REF. AO IMÓVEL ONDE FUNCIONAM AS PROMOTORIAS DE JUSTIÇA DA COMARCA DE JUAZEIRO DO NORTE, CONF. CONTRATO Nº 001/2015.</v>
      </c>
      <c r="F240" s="2" t="s">
        <v>231</v>
      </c>
      <c r="G240" s="5" t="str">
        <f>HYPERLINK("http://www8.mpce.mp.br/Empenhos/150501/NE/2024NE000315.pdf","2024NE000315")</f>
        <v>2024NE000315</v>
      </c>
      <c r="H240" s="6">
        <v>3780</v>
      </c>
      <c r="I240" s="7" t="s">
        <v>215</v>
      </c>
      <c r="J240" s="10" t="s">
        <v>216</v>
      </c>
      <c r="K240" t="str">
        <f>HYPERLINK("http://www8.mpce.mp.br/Empenhos/150501/NE/2024NE000152.pdf","2024NE000152")</f>
        <v>2024NE000152</v>
      </c>
      <c r="L240" s="13">
        <v>14538.26</v>
      </c>
      <c r="M240" t="s">
        <v>164</v>
      </c>
      <c r="N240">
        <v>7340995000189</v>
      </c>
    </row>
    <row r="241" spans="1:14" ht="51" x14ac:dyDescent="0.25">
      <c r="A241" s="12" t="s">
        <v>34</v>
      </c>
      <c r="B241" s="2" t="s">
        <v>378</v>
      </c>
      <c r="C241" s="3" t="str">
        <f>HYPERLINK("http://www8.mpce.mp.br/Dispensa/3642820165.pdf","36428/2016-5")</f>
        <v>36428/2016-5</v>
      </c>
      <c r="D241" s="4">
        <v>45377</v>
      </c>
      <c r="E241" s="16" t="str">
        <f>HYPERLINK("https://www8.mpce.mp.br/Empenhos/150001/Objeto/26-2017.pdf","RETROATIVO DE ALUGUÉIS, APÓS SUA MAJORAÇÃO, REF. AO IMÓVEL ONDE FUNCIONAM AS PROMOTORIAS DE JUSTIÇA DA COMARCA DE MARANGUAPE  DOS MESES DE JANEIRO A MARÇO DE 2024, CONF. CONTRATO Nº 026/2017.")</f>
        <v>RETROATIVO DE ALUGUÉIS, APÓS SUA MAJORAÇÃO, REF. AO IMÓVEL ONDE FUNCIONAM AS PROMOTORIAS DE JUSTIÇA DA COMARCA DE MARANGUAPE  DOS MESES DE JANEIRO A MARÇO DE 2024, CONF. CONTRATO Nº 026/2017.</v>
      </c>
      <c r="F241" s="2" t="s">
        <v>161</v>
      </c>
      <c r="G241" s="5" t="str">
        <f>HYPERLINK("http://www8.mpce.mp.br/Empenhos/150501/NE/2024NE000316.pdf","2024NE000316")</f>
        <v>2024NE000316</v>
      </c>
      <c r="H241" s="6">
        <v>2071.71</v>
      </c>
      <c r="I241" s="7" t="s">
        <v>205</v>
      </c>
      <c r="J241" s="10" t="s">
        <v>206</v>
      </c>
      <c r="K241" t="str">
        <f>HYPERLINK("http://www8.mpce.mp.br/Empenhos/150501/NE/2024NE000153.pdf","2024NE000153")</f>
        <v>2024NE000153</v>
      </c>
      <c r="L241" s="13">
        <v>4683.9399999999996</v>
      </c>
      <c r="M241" t="s">
        <v>211</v>
      </c>
      <c r="N241">
        <v>46950052391</v>
      </c>
    </row>
    <row r="242" spans="1:14" ht="75" x14ac:dyDescent="0.25">
      <c r="A242" s="12" t="s">
        <v>34</v>
      </c>
      <c r="B242" s="2" t="s">
        <v>379</v>
      </c>
      <c r="C242" s="3" t="str">
        <f>HYPERLINK("http://www8.mpce.mp.br/Dispensa/1291020194.pdf","12910/2019-4")</f>
        <v>12910/2019-4</v>
      </c>
      <c r="D242" s="4">
        <v>45378</v>
      </c>
      <c r="E242" s="17" t="str">
        <f>HYPERLINK("https://www8.mpce.mp.br/Empenhos/150001/Objeto/39-2019.pdf","REEMBOLSO DA TAXA DE LIXO - TMRSU DO IMÓVEL ONDE FUNCIONA A SEDE DAS PROMOTORIAS DE JUSTIÇA DA INFÂNCIA E JUVENTUDE, CONF. CONTRATO 039/2019, REF. 1ª E 2ª PARCELAS, BEM COMO 5 DIAS PROPORCIONAIS DA 3ª PARCELA DE 2024.")</f>
        <v>REEMBOLSO DA TAXA DE LIXO - TMRSU DO IMÓVEL ONDE FUNCIONA A SEDE DAS PROMOTORIAS DE JUSTIÇA DA INFÂNCIA E JUVENTUDE, CONF. CONTRATO 039/2019, REF. 1ª E 2ª PARCELAS, BEM COMO 5 DIAS PROPORCIONAIS DA 3ª PARCELA DE 2024.</v>
      </c>
      <c r="F242" s="2" t="s">
        <v>252</v>
      </c>
      <c r="G242" s="5" t="str">
        <f>HYPERLINK("http://www8.mpce.mp.br/Empenhos/150501/NE/2024NE000317.pdf","2024NE000317")</f>
        <v>2024NE000317</v>
      </c>
      <c r="H242" s="6">
        <v>222.16</v>
      </c>
      <c r="I242" s="7" t="s">
        <v>148</v>
      </c>
      <c r="J242" s="10" t="s">
        <v>149</v>
      </c>
      <c r="K242" t="str">
        <f>HYPERLINK("http://www8.mpce.mp.br/Empenhos/150501/NE/2024NE000154.pdf","2024NE000154")</f>
        <v>2024NE000154</v>
      </c>
      <c r="L242" s="13">
        <v>123917.06</v>
      </c>
      <c r="M242" t="s">
        <v>142</v>
      </c>
      <c r="N242">
        <v>8744388000147</v>
      </c>
    </row>
    <row r="243" spans="1:14" ht="51" x14ac:dyDescent="0.25">
      <c r="A243" s="12" t="s">
        <v>34</v>
      </c>
      <c r="B243" s="2" t="s">
        <v>380</v>
      </c>
      <c r="C243" s="3" t="str">
        <f>HYPERLINK("https://transparencia-area-fim.mpce.mp.br/#/consulta/processo/pastadigital/092021000157125","09.2021.00015712-5")</f>
        <v>09.2021.00015712-5</v>
      </c>
      <c r="D243" s="4">
        <v>45384</v>
      </c>
      <c r="E243" s="16" t="str">
        <f>HYPERLINK("https://www8.mpce.mp.br/Empenhos/150001/Objeto/32-2021.pdf","SEGURO DE VIDA DOS 720 (SETECENTOS E VINTE) ESTAGIÁRIOS DO MPCE, CONF. CONTRATO 032/2021 E PROJETO 027/2023, REF. ABR, MAI E JUN/2024, POR ESTIMATIVA. ")</f>
        <v xml:space="preserve">SEGURO DE VIDA DOS 720 (SETECENTOS E VINTE) ESTAGIÁRIOS DO MPCE, CONF. CONTRATO 032/2021 E PROJETO 027/2023, REF. ABR, MAI E JUN/2024, POR ESTIMATIVA. </v>
      </c>
      <c r="F243" s="2" t="s">
        <v>61</v>
      </c>
      <c r="G243" s="5" t="str">
        <f>HYPERLINK("http://www8.mpce.mp.br/Empenhos/150501/NE/2024NE000319.pdf","2024NE000319")</f>
        <v>2024NE000319</v>
      </c>
      <c r="H243" s="6">
        <v>410.4</v>
      </c>
      <c r="I243" s="7" t="s">
        <v>38</v>
      </c>
      <c r="J243" s="10" t="s">
        <v>39</v>
      </c>
      <c r="K243" t="str">
        <f>HYPERLINK("http://www8.mpce.mp.br/Empenhos/150501/NE/2024NE000155.pdf","2024NE000155")</f>
        <v>2024NE000155</v>
      </c>
      <c r="L243" s="13">
        <v>66800.22</v>
      </c>
      <c r="M243" t="s">
        <v>134</v>
      </c>
      <c r="N243">
        <v>44114554000195</v>
      </c>
    </row>
    <row r="244" spans="1:14" ht="63.75" x14ac:dyDescent="0.25">
      <c r="A244" s="12" t="s">
        <v>9</v>
      </c>
      <c r="B244" s="2" t="s">
        <v>381</v>
      </c>
      <c r="C244" s="3" t="str">
        <f>HYPERLINK("https://transparencia-area-fim.mpce.mp.br/#/consulta/processo/pastadigital/092024000019624","09.2024.00001962-4")</f>
        <v>09.2024.00001962-4</v>
      </c>
      <c r="D244" s="4">
        <v>45350</v>
      </c>
      <c r="E244" s="16" t="s">
        <v>382</v>
      </c>
      <c r="F244" s="2" t="s">
        <v>373</v>
      </c>
      <c r="G244" s="5" t="str">
        <f>HYPERLINK("http://www8.mpce.mp.br/Empenhos/150001/NE/2024NE000320.pdf","2024NE000320")</f>
        <v>2024NE000320</v>
      </c>
      <c r="H244" s="6">
        <v>7350</v>
      </c>
      <c r="I244" s="7" t="s">
        <v>383</v>
      </c>
      <c r="J244" s="10" t="s">
        <v>840</v>
      </c>
      <c r="K244" t="str">
        <f>HYPERLINK("http://www8.mpce.mp.br/Empenhos/150501/NE/2024NE000156.pdf","2024NE000156")</f>
        <v>2024NE000156</v>
      </c>
      <c r="L244" s="13">
        <v>5203.1000000000004</v>
      </c>
      <c r="M244" t="s">
        <v>203</v>
      </c>
      <c r="N244">
        <v>5817870304</v>
      </c>
    </row>
    <row r="245" spans="1:14" ht="51" x14ac:dyDescent="0.25">
      <c r="A245" s="12" t="s">
        <v>34</v>
      </c>
      <c r="B245" s="2" t="s">
        <v>384</v>
      </c>
      <c r="C245" s="3" t="str">
        <f>HYPERLINK("http://www8.mpce.mp.br/Dispensa/2826420164.pdf","28264/2016-4")</f>
        <v>28264/2016-4</v>
      </c>
      <c r="D245" s="4">
        <v>45385</v>
      </c>
      <c r="E245" s="16" t="str">
        <f>HYPERLINK("https://www8.mpce.mp.br/Empenhos/150001/Objeto/26-2016.pdf","EMPENHO DE IPTU/2024, REFERENTE A 2ª PARCELA DO IMÓVEL ONDE FUNCIONAM OS CENTROS DE APOIO E INVESTIGAÇÃO, LOCALIZADO À AVENIDA ANTÔNIO SALES, 1740, DIONÍSIO TORRES, CONF. CONTRATO Nº 026/2016.")</f>
        <v>EMPENHO DE IPTU/2024, REFERENTE A 2ª PARCELA DO IMÓVEL ONDE FUNCIONAM OS CENTROS DE APOIO E INVESTIGAÇÃO, LOCALIZADO À AVENIDA ANTÔNIO SALES, 1740, DIONÍSIO TORRES, CONF. CONTRATO Nº 026/2016.</v>
      </c>
      <c r="F245" s="2" t="s">
        <v>252</v>
      </c>
      <c r="G245" s="5" t="str">
        <f>HYPERLINK("http://www8.mpce.mp.br/Empenhos/150501/NE/2024NE000320.pdf","2024NE000320")</f>
        <v>2024NE000320</v>
      </c>
      <c r="H245" s="6">
        <v>3155.01</v>
      </c>
      <c r="I245" s="7" t="s">
        <v>142</v>
      </c>
      <c r="J245" s="10" t="s">
        <v>143</v>
      </c>
      <c r="K245" t="str">
        <f>HYPERLINK("http://www8.mpce.mp.br/Empenhos/150501/NE/2024NE000157.pdf","2024NE000157")</f>
        <v>2024NE000157</v>
      </c>
      <c r="L245" s="13">
        <v>4000</v>
      </c>
      <c r="M245" t="s">
        <v>201</v>
      </c>
      <c r="N245">
        <v>7021062320</v>
      </c>
    </row>
    <row r="246" spans="1:14" ht="51" x14ac:dyDescent="0.25">
      <c r="A246" s="12" t="s">
        <v>9</v>
      </c>
      <c r="B246" s="2" t="s">
        <v>385</v>
      </c>
      <c r="C246" s="3" t="str">
        <f>HYPERLINK("https://transparencia-area-fim.mpce.mp.br/#/consulta/processo/pastadigital/092021000000456","09.2021.00000045-6")</f>
        <v>09.2021.00000045-6</v>
      </c>
      <c r="D246" s="4">
        <v>45386</v>
      </c>
      <c r="E246" s="16" t="str">
        <f>HYPERLINK("https://www8.mpce.mp.br/Empenhos/150001/Objeto/02-2021.pdf","PRESTAÇÃO DE SERVIÇO DE SUPORTE TÉCNICO DA SOLUÇÃO GUARDIÃO WEB-BY NGC, RELATIVO AOS MESES ABRIL, MAIO E JUNHO DE 2024, CONF. CONTRATO 002/2021/PGJ E PROJETO Nº 019/2023.")</f>
        <v>PRESTAÇÃO DE SERVIÇO DE SUPORTE TÉCNICO DA SOLUÇÃO GUARDIÃO WEB-BY NGC, RELATIVO AOS MESES ABRIL, MAIO E JUNHO DE 2024, CONF. CONTRATO 002/2021/PGJ E PROJETO Nº 019/2023.</v>
      </c>
      <c r="F246" s="2" t="s">
        <v>60</v>
      </c>
      <c r="G246" s="5" t="str">
        <f>HYPERLINK("http://www8.mpce.mp.br/Empenhos/150501/NE/2024NE000321.pdf","2024NE000321")</f>
        <v>2024NE000321</v>
      </c>
      <c r="H246" s="6">
        <v>54790.38</v>
      </c>
      <c r="I246" s="7" t="s">
        <v>22</v>
      </c>
      <c r="J246" s="10" t="s">
        <v>23</v>
      </c>
      <c r="K246" t="str">
        <f>HYPERLINK("http://www8.mpce.mp.br/Empenhos/150501/NE/2024NE000158.pdf","2024NE000158")</f>
        <v>2024NE000158</v>
      </c>
      <c r="L246" s="13">
        <v>44000</v>
      </c>
      <c r="M246" t="s">
        <v>153</v>
      </c>
      <c r="N246">
        <v>10508750000122</v>
      </c>
    </row>
    <row r="247" spans="1:14" ht="51" x14ac:dyDescent="0.25">
      <c r="A247" s="12" t="s">
        <v>34</v>
      </c>
      <c r="B247" s="2" t="s">
        <v>386</v>
      </c>
      <c r="C247" s="3" t="str">
        <f>HYPERLINK("http://www8.mpce.mp.br/Dispensa/1291020194.pdf","12910/2019-4")</f>
        <v>12910/2019-4</v>
      </c>
      <c r="D247" s="4">
        <v>45386</v>
      </c>
      <c r="E247" s="16" t="str">
        <f>HYPERLINK("https://www8.mpce.mp.br/Empenhos/150001/Objeto/39-2019.pdf","REEMBOLSO DE IPTU DO IMÓVEL ONDE FUNCIONA A SEDE DAS PROMOTORIAS DE JUSTIÇA DA INFÂNCIA E JUVENTUDE, CONF. CONTRATO 039/2019, REF. 1ª E 2ª PARCELAS, BEM COMO 5 DIAS PROPORCIONAIS DA 3ª PARCELA DE 2024.")</f>
        <v>REEMBOLSO DE IPTU DO IMÓVEL ONDE FUNCIONA A SEDE DAS PROMOTORIAS DE JUSTIÇA DA INFÂNCIA E JUVENTUDE, CONF. CONTRATO 039/2019, REF. 1ª E 2ª PARCELAS, BEM COMO 5 DIAS PROPORCIONAIS DA 3ª PARCELA DE 2024.</v>
      </c>
      <c r="F247" s="2" t="s">
        <v>252</v>
      </c>
      <c r="G247" s="5" t="str">
        <f>HYPERLINK("http://www8.mpce.mp.br/Empenhos/150501/NE/2024NE000323.pdf","2024NE000323")</f>
        <v>2024NE000323</v>
      </c>
      <c r="H247" s="6">
        <v>352.24</v>
      </c>
      <c r="I247" s="7" t="s">
        <v>148</v>
      </c>
      <c r="J247" s="10" t="s">
        <v>149</v>
      </c>
      <c r="K247" t="str">
        <f>HYPERLINK("http://www8.mpce.mp.br/Empenhos/150501/NE/2024NE000159.pdf","2024NE000159")</f>
        <v>2024NE000159</v>
      </c>
      <c r="L247" s="13">
        <v>1600</v>
      </c>
      <c r="M247" t="s">
        <v>197</v>
      </c>
      <c r="N247">
        <v>19556292349</v>
      </c>
    </row>
    <row r="248" spans="1:14" ht="75" x14ac:dyDescent="0.25">
      <c r="A248" s="12" t="s">
        <v>34</v>
      </c>
      <c r="B248" s="2" t="s">
        <v>387</v>
      </c>
      <c r="C248" s="3" t="str">
        <f>HYPERLINK("http://www8.mpce.mp.br/Dispensa/3657120162.pdf","3657120162")</f>
        <v>3657120162</v>
      </c>
      <c r="D248" s="4">
        <v>45387</v>
      </c>
      <c r="E248" s="17" t="str">
        <f>HYPERLINK("https://www8.mpce.mp.br/Empenhos/150001/Objeto/12-2017.pdf","EMPENHO DO VALOR PROPORCIONAL DE IPTU DO IMÓVEL ONDE FUNCIONAVA AS PROMOTORIAS DE JUSTIÇA DE JUAZEIRO DO NORTE , REFERENTE A 1ª, 2ª E 3ª"&amp;" PARCELAS DE 2024 DA COTA ÚNICA, EM RAZÃO DA ENTREGA DO IMÓVEL AO LOCADOR EM 1º DE ABRIL, CONF.  CONTRATO Nº 012/2017/PGJ.")</f>
        <v>EMPENHO DO VALOR PROPORCIONAL DE IPTU DO IMÓVEL ONDE FUNCIONAVA AS PROMOTORIAS DE JUSTIÇA DE JUAZEIRO DO NORTE , REFERENTE A 1ª, 2ª E 3ª PARCELAS DE 2024 DA COTA ÚNICA, EM RAZÃO DA ENTREGA DO IMÓVEL AO LOCADOR EM 1º DE ABRIL, CONF.  CONTRATO Nº 012/2017/PGJ.</v>
      </c>
      <c r="F248" s="2" t="s">
        <v>388</v>
      </c>
      <c r="G248" s="5" t="str">
        <f>HYPERLINK("http://www8.mpce.mp.br/Empenhos/150501/NE/2024NE000325.pdf","2024NE000325")</f>
        <v>2024NE000325</v>
      </c>
      <c r="H248" s="6">
        <v>57.09</v>
      </c>
      <c r="I248" s="7" t="s">
        <v>213</v>
      </c>
      <c r="J248" s="10" t="s">
        <v>214</v>
      </c>
      <c r="K248" t="str">
        <f>HYPERLINK("http://www8.mpce.mp.br/Empenhos/150501/NE/2024NE000160.pdf","2024NE000160")</f>
        <v>2024NE000160</v>
      </c>
      <c r="L248" s="13">
        <v>52000</v>
      </c>
      <c r="M248" t="s">
        <v>175</v>
      </c>
      <c r="N248">
        <v>14763826000117</v>
      </c>
    </row>
    <row r="249" spans="1:14" ht="63.75" x14ac:dyDescent="0.25">
      <c r="A249" s="12" t="s">
        <v>34</v>
      </c>
      <c r="B249" s="2" t="s">
        <v>389</v>
      </c>
      <c r="C249" s="3" t="str">
        <f>HYPERLINK("https://transparencia-area-fim.mpce.mp.br/#/consulta/processo/pastadigital/092021000349974","09.2021.00034997-4")</f>
        <v>09.2021.00034997-4</v>
      </c>
      <c r="D249" s="4">
        <v>45390</v>
      </c>
      <c r="E249" s="16" t="str">
        <f>HYPERLINK("https://www8.mpce.mp.br/Empenhos/150001/Objeto/01-2022.pdf","DISPONIBILIZAÇÃO DE SOLUÇÃO TÉCNOLÓGICA (SAAS) MULTICANAL PARA ATENDIMENTO E GERENCIAMENTO DO RELACIONAMENTO COMO USUÁRIO, DISPONIBILIZAÇÃO E AUTOMAÇÃO DE SERVIÇO, REF. AO MÊS DE ABRIL DE 2024, CONF. CONTRATO Nº 001/2022 E PROJETO Nº 52/2023.")</f>
        <v>DISPONIBILIZAÇÃO DE SOLUÇÃO TÉCNOLÓGICA (SAAS) MULTICANAL PARA ATENDIMENTO E GERENCIAMENTO DO RELACIONAMENTO COMO USUÁRIO, DISPONIBILIZAÇÃO E AUTOMAÇÃO DE SERVIÇO, REF. AO MÊS DE ABRIL DE 2024, CONF. CONTRATO Nº 001/2022 E PROJETO Nº 52/2023.</v>
      </c>
      <c r="F249" s="2" t="s">
        <v>250</v>
      </c>
      <c r="G249" s="5" t="str">
        <f>HYPERLINK("http://www8.mpce.mp.br/Empenhos/150501/NE/2024NE000329.pdf","2024NE000329")</f>
        <v>2024NE000329</v>
      </c>
      <c r="H249" s="6">
        <v>13800</v>
      </c>
      <c r="I249" s="7" t="s">
        <v>244</v>
      </c>
      <c r="J249" s="10" t="s">
        <v>245</v>
      </c>
      <c r="K249" t="str">
        <f>HYPERLINK("http://www8.mpce.mp.br/Empenhos/150501/NE/2024NE000161.pdf","2024NE000161")</f>
        <v>2024NE000161</v>
      </c>
      <c r="L249" s="13">
        <v>5000</v>
      </c>
      <c r="M249" t="s">
        <v>195</v>
      </c>
      <c r="N249">
        <v>7136315387</v>
      </c>
    </row>
    <row r="250" spans="1:14" ht="38.25" x14ac:dyDescent="0.25">
      <c r="A250" s="12" t="s">
        <v>34</v>
      </c>
      <c r="B250" s="2" t="s">
        <v>390</v>
      </c>
      <c r="C250" s="3" t="str">
        <f>HYPERLINK("http://www8.mpce.mp.br/Dispensa/3072520194.pdf","30725/2019-4")</f>
        <v>30725/2019-4</v>
      </c>
      <c r="D250" s="4">
        <v>45390</v>
      </c>
      <c r="E250" s="16" t="str">
        <f>HYPERLINK("https://www8.mpce.mp.br/Empenhos/150001/Objeto/06-2020.pdf","LINK DE DADOS, SERVIÇO DE NUVEM E HORAS IMPRODUTIVAS , REF. AO MÊS DE ABRIL DE 2024, CONF. CONTRATO Nº 006/2020 E PROJETO Nº 052/2023.")</f>
        <v>LINK DE DADOS, SERVIÇO DE NUVEM E HORAS IMPRODUTIVAS , REF. AO MÊS DE ABRIL DE 2024, CONF. CONTRATO Nº 006/2020 E PROJETO Nº 052/2023.</v>
      </c>
      <c r="F250" s="2" t="s">
        <v>243</v>
      </c>
      <c r="G250" s="5" t="str">
        <f>HYPERLINK("http://www8.mpce.mp.br/Empenhos/150501/NE/2024NE000330.pdf","2024NE000330")</f>
        <v>2024NE000330</v>
      </c>
      <c r="H250" s="6">
        <v>22563.68</v>
      </c>
      <c r="I250" s="7" t="s">
        <v>244</v>
      </c>
      <c r="J250" s="10" t="s">
        <v>245</v>
      </c>
      <c r="K250" t="str">
        <f>HYPERLINK("http://www8.mpce.mp.br/Empenhos/150501/NE/2024NE000162.pdf","2024NE000162")</f>
        <v>2024NE000162</v>
      </c>
      <c r="L250" s="13">
        <v>44286.96</v>
      </c>
      <c r="M250" t="s">
        <v>153</v>
      </c>
      <c r="N250">
        <v>10508750000122</v>
      </c>
    </row>
    <row r="251" spans="1:14" ht="51" x14ac:dyDescent="0.25">
      <c r="A251" s="12" t="s">
        <v>34</v>
      </c>
      <c r="B251" s="2" t="s">
        <v>391</v>
      </c>
      <c r="C251" s="3" t="str">
        <f>HYPERLINK("https://transparencia-area-fim.mpce.mp.br/#/consulta/processo/pastadigital/092022000111032","09.2022.00011103-2")</f>
        <v>09.2022.00011103-2</v>
      </c>
      <c r="D251" s="4">
        <v>45390</v>
      </c>
      <c r="E251" s="16" t="str">
        <f>HYPERLINK("https://www8.mpce.mp.br/Empenhos/150001/Objeto/23-2022.pdf","PROVIMENTO DE RECURSOS EM NUVEM, SERVIÇOS TÉCNICOS ESPECIALIZADOS E LINK DEDICADO PARA A NUVEM, REF. AO MÊS DE ABRIL DE 2024, CONF. CONTRATO Nº 023/2022 E PROJETO Nº 52/2023.")</f>
        <v>PROVIMENTO DE RECURSOS EM NUVEM, SERVIÇOS TÉCNICOS ESPECIALIZADOS E LINK DEDICADO PARA A NUVEM, REF. AO MÊS DE ABRIL DE 2024, CONF. CONTRATO Nº 023/2022 E PROJETO Nº 52/2023.</v>
      </c>
      <c r="F251" s="2" t="s">
        <v>243</v>
      </c>
      <c r="G251" s="5" t="str">
        <f>HYPERLINK("http://www8.mpce.mp.br/Empenhos/150501/NE/2024NE000331.pdf","2024NE000331")</f>
        <v>2024NE000331</v>
      </c>
      <c r="H251" s="6">
        <v>45000</v>
      </c>
      <c r="I251" s="7" t="s">
        <v>244</v>
      </c>
      <c r="J251" s="10" t="s">
        <v>245</v>
      </c>
      <c r="K251" t="str">
        <f>HYPERLINK("http://www8.mpce.mp.br/Empenhos/150501/NE/2024NE000163.pdf","2024NE000163")</f>
        <v>2024NE000163</v>
      </c>
      <c r="L251" s="13">
        <v>2400</v>
      </c>
      <c r="M251" t="s">
        <v>182</v>
      </c>
      <c r="N251">
        <v>31014895391</v>
      </c>
    </row>
    <row r="252" spans="1:14" ht="90" x14ac:dyDescent="0.25">
      <c r="A252" s="12" t="s">
        <v>34</v>
      </c>
      <c r="B252" s="2" t="s">
        <v>392</v>
      </c>
      <c r="C252" s="3" t="str">
        <f>HYPERLINK("https://transparencia-area-fim.mpce.mp.br/#/consulta/processo/pastadigital/092023000117363","09.2023.00011736-3")</f>
        <v>09.2023.00011736-3</v>
      </c>
      <c r="D252" s="4">
        <v>45390</v>
      </c>
      <c r="E252" s="17" t="str">
        <f>HYPERLINK("https://www8.mpce.mp.br/Empenhos/150001/Objeto/32-2023.pdf","DISPONIBILIZAÇÃO DE SOLUÇÃO TECNOLÓGICA NA MODALIDADE SOFTWARE COMO SERVIÇO SAAS PARA GESTÃO INTEGRADA"&amp;" DE ESTRATÉGIA, PORTFÓLIO, PROJETOS, TAREFAS, REUNIÕES INDICADORES E PROCESSOS, REF. AO MÊS DE ABRIL DE 2023, CONF. CONTRATO Nº 032/2023 E PROJETO Nº 052/2023.")</f>
        <v>DISPONIBILIZAÇÃO DE SOLUÇÃO TECNOLÓGICA NA MODALIDADE SOFTWARE COMO SERVIÇO SAAS PARA GESTÃO INTEGRADA DE ESTRATÉGIA, PORTFÓLIO, PROJETOS, TAREFAS, REUNIÕES INDICADORES E PROCESSOS, REF. AO MÊS DE ABRIL DE 2023, CONF. CONTRATO Nº 032/2023 E PROJETO Nº 052/2023.</v>
      </c>
      <c r="F252" s="2" t="s">
        <v>250</v>
      </c>
      <c r="G252" s="5" t="str">
        <f>HYPERLINK("http://www8.mpce.mp.br/Empenhos/150501/NE/2024NE000332.pdf","2024NE000332")</f>
        <v>2024NE000332</v>
      </c>
      <c r="H252" s="6">
        <v>6216.42</v>
      </c>
      <c r="I252" s="7" t="s">
        <v>244</v>
      </c>
      <c r="J252" s="10" t="s">
        <v>245</v>
      </c>
      <c r="K252" t="str">
        <f>HYPERLINK("http://www8.mpce.mp.br/Empenhos/150501/NE/2024NE000164.pdf","2024NE000164")</f>
        <v>2024NE000164</v>
      </c>
      <c r="L252" s="13">
        <v>65525.26</v>
      </c>
      <c r="M252" t="s">
        <v>215</v>
      </c>
      <c r="N252">
        <v>21134653000133</v>
      </c>
    </row>
    <row r="253" spans="1:14" ht="120" x14ac:dyDescent="0.25">
      <c r="A253" s="12" t="s">
        <v>9</v>
      </c>
      <c r="B253" s="2" t="s">
        <v>393</v>
      </c>
      <c r="C253" s="3" t="str">
        <f>HYPERLINK("https://transparencia-area-fim.mpce.mp.br/#/consulta/processo/pastadigital/092023000079630","09.2023.00007963-0")</f>
        <v>09.2023.00007963-0</v>
      </c>
      <c r="D253" s="4">
        <v>45393</v>
      </c>
      <c r="E253" s="17" t="str">
        <f>HYPERLINK("https://www8.mpce.mp.br/Empenhos/150001/Objeto/15-2023.pdf","EXECUTIVE PROGRAMS LEADERSHIP TEAM PLUS LEADER E TEAM PLUS IT EXECUTIVE _ LICENÇA DE ATUAÇÃO ESTRATÉGICA DE APOIO E ACONSELHAMENTO PARA EXECUTIVO DE TI,"&amp;" P/ USUÁRIO EXECUTIVO TITULAR, INCLUINDO ACESSO A UM CONSELHEIRO EXECUTIVO, ACESSO A ANALISTAS E A BASE DE CONHECIMENTO DESTINADAS AO NÍVEL DE ATUAÇÃO GERENCIAL, CONF. CONTRATO Nº 015/2023 E PROJETO Nº 028/2023, REF. AO MÊS DE ABRIL.")</f>
        <v>EXECUTIVE PROGRAMS LEADERSHIP TEAM PLUS LEADER E TEAM PLUS IT EXECUTIVE _ LICENÇA DE ATUAÇÃO ESTRATÉGICA DE APOIO E ACONSELHAMENTO PARA EXECUTIVO DE TI, P/ USUÁRIO EXECUTIVO TITULAR, INCLUINDO ACESSO A UM CONSELHEIRO EXECUTIVO, ACESSO A ANALISTAS E A BASE DE CONHECIMENTO DESTINADAS AO NÍVEL DE ATUAÇÃO GERENCIAL, CONF. CONTRATO Nº 015/2023 E PROJETO Nº 028/2023, REF. AO MÊS DE ABRIL.</v>
      </c>
      <c r="F253" s="2" t="s">
        <v>109</v>
      </c>
      <c r="G253" s="5" t="str">
        <f>HYPERLINK("http://www8.mpce.mp.br/Empenhos/150501/NE/2024NE000334.pdf","2024NE000334")</f>
        <v>2024NE000334</v>
      </c>
      <c r="H253" s="6">
        <v>65600</v>
      </c>
      <c r="I253" s="7" t="s">
        <v>113</v>
      </c>
      <c r="J253" s="10" t="s">
        <v>114</v>
      </c>
      <c r="K253" t="str">
        <f>HYPERLINK("http://www8.mpce.mp.br/Empenhos/150501/NE/2024NE000165.pdf","2024NE000165")</f>
        <v>2024NE000165</v>
      </c>
      <c r="L253" s="13">
        <v>3155.42</v>
      </c>
      <c r="M253" t="s">
        <v>142</v>
      </c>
      <c r="N253">
        <v>8744388000147</v>
      </c>
    </row>
    <row r="254" spans="1:14" ht="51" x14ac:dyDescent="0.25">
      <c r="A254" s="12" t="s">
        <v>34</v>
      </c>
      <c r="B254" s="2" t="s">
        <v>394</v>
      </c>
      <c r="C254" s="3" t="str">
        <f>HYPERLINK("https://transparencia-area-fim.mpce.mp.br/#/consulta/processo/pastadigital/092020000096883","09.2020.00009688-3")</f>
        <v>09.2020.00009688-3</v>
      </c>
      <c r="D254" s="4">
        <v>45391</v>
      </c>
      <c r="E254" s="16" t="str">
        <f>HYPERLINK("https://www8.mpce.mp.br/Empenhos/150001/Objeto/28-2020.pdf","SERVIÇOS DE SUPORTE E FORNECIMENTO DOS SERVIÇOS COMPUTACIONAIS DA PLATAFORMA GOOGLE MAPS, CONF. CONTRATO 028/2020, REF. ABR, MAI E JUN/2024, POR ESTIMATIVA.")</f>
        <v>SERVIÇOS DE SUPORTE E FORNECIMENTO DOS SERVIÇOS COMPUTACIONAIS DA PLATAFORMA GOOGLE MAPS, CONF. CONTRATO 028/2020, REF. ABR, MAI E JUN/2024, POR ESTIMATIVA.</v>
      </c>
      <c r="F254" s="2" t="s">
        <v>71</v>
      </c>
      <c r="G254" s="5" t="str">
        <f>HYPERLINK("http://www8.mpce.mp.br/Empenhos/150501/NE/2024NE000340.pdf","2024NE000340")</f>
        <v>2024NE000340</v>
      </c>
      <c r="H254" s="6">
        <v>900</v>
      </c>
      <c r="I254" s="7" t="s">
        <v>257</v>
      </c>
      <c r="J254" s="10" t="s">
        <v>830</v>
      </c>
      <c r="K254" t="str">
        <f>HYPERLINK("http://www8.mpce.mp.br/Empenhos/150501/NE/2024NE000166.pdf","2024NE000166")</f>
        <v>2024NE000166</v>
      </c>
      <c r="L254" s="13">
        <v>91025.54</v>
      </c>
      <c r="M254" t="s">
        <v>151</v>
      </c>
      <c r="N254">
        <v>22705562000173</v>
      </c>
    </row>
    <row r="255" spans="1:14" ht="38.25" x14ac:dyDescent="0.25">
      <c r="A255" s="12" t="s">
        <v>9</v>
      </c>
      <c r="B255" s="2" t="s">
        <v>395</v>
      </c>
      <c r="C255" s="3" t="str">
        <f>HYPERLINK("https://transparencia-area-fim.mpce.mp.br/#/consulta/processo/pastadigital/092021000189150","09.2021.00018915-0")</f>
        <v>09.2021.00018915-0</v>
      </c>
      <c r="D255" s="4">
        <v>45391</v>
      </c>
      <c r="E255" s="16" t="str">
        <f>HYPERLINK("https://www8.mpce.mp.br/Empenhos/150001/Objeto/09-2022.pdf","SERVIÇOS DE EXTENSÃO DE GARANTIA PARA O DATA CENTER, REF. AO MÊS DE ABRIL, CONF. CONTRATO Nº 009/2022 E PROJETO Nº 52/2023.")</f>
        <v>SERVIÇOS DE EXTENSÃO DE GARANTIA PARA O DATA CENTER, REF. AO MÊS DE ABRIL, CONF. CONTRATO Nº 009/2022 E PROJETO Nº 52/2023.</v>
      </c>
      <c r="F255" s="2" t="s">
        <v>262</v>
      </c>
      <c r="G255" s="5" t="str">
        <f>HYPERLINK("http://www8.mpce.mp.br/Empenhos/150501/NE/2024NE000341.pdf","2024NE000341")</f>
        <v>2024NE000341</v>
      </c>
      <c r="H255" s="6">
        <v>21000</v>
      </c>
      <c r="I255" s="7" t="s">
        <v>263</v>
      </c>
      <c r="J255" s="10" t="s">
        <v>831</v>
      </c>
      <c r="K255" t="str">
        <f>HYPERLINK("http://www8.mpce.mp.br/Empenhos/150501/NE/2024NE000167.pdf","2024NE000167")</f>
        <v>2024NE000167</v>
      </c>
      <c r="L255" s="13">
        <v>3000</v>
      </c>
      <c r="M255" t="s">
        <v>191</v>
      </c>
      <c r="N255">
        <v>91495059391</v>
      </c>
    </row>
    <row r="256" spans="1:14" ht="63.75" x14ac:dyDescent="0.25">
      <c r="A256" s="12" t="s">
        <v>34</v>
      </c>
      <c r="B256" s="2" t="s">
        <v>396</v>
      </c>
      <c r="C256" s="3" t="str">
        <f>HYPERLINK("https://transparencia-area-fim.mpce.mp.br/#/consulta/processo/pastadigital/092024000123369","09.2024.00012336-9")</f>
        <v>09.2024.00012336-9</v>
      </c>
      <c r="D256" s="4">
        <v>45392</v>
      </c>
      <c r="E256" s="16" t="str">
        <f>HYPERLINK("https://www8.mpce.mp.br/Empenhos/150001/Objeto/16-2017.pdf","EMPENHO DE IPTU REFERENTE A 3ª PARCELA DE 2024 DO IMÓVEL ONDE FUNCIONAVAM AS PROMOTORIAS DE JUSTIÇA CRIMINAIS, LOCALIZADAS À AV. CEL. JOSÉ FILOMENO GOMES, 222, BAIRRO LUCIANO CAVALCANTE, CONF. CONTRATO Nº 016/2017/PGJ.")</f>
        <v>EMPENHO DE IPTU REFERENTE A 3ª PARCELA DE 2024 DO IMÓVEL ONDE FUNCIONAVAM AS PROMOTORIAS DE JUSTIÇA CRIMINAIS, LOCALIZADAS À AV. CEL. JOSÉ FILOMENO GOMES, 222, BAIRRO LUCIANO CAVALCANTE, CONF. CONTRATO Nº 016/2017/PGJ.</v>
      </c>
      <c r="F256" s="2" t="s">
        <v>252</v>
      </c>
      <c r="G256" s="5" t="str">
        <f>HYPERLINK("http://www8.mpce.mp.br/Empenhos/150501/NE/2024NE000342.pdf","2024NE000342")</f>
        <v>2024NE000342</v>
      </c>
      <c r="H256" s="6">
        <v>2619.0100000000002</v>
      </c>
      <c r="I256" s="7" t="s">
        <v>158</v>
      </c>
      <c r="J256" s="10" t="s">
        <v>159</v>
      </c>
      <c r="K256" t="str">
        <f>HYPERLINK("http://www8.mpce.mp.br/Empenhos/150501/NE/2024NE000168.pdf","2024NE000168")</f>
        <v>2024NE000168</v>
      </c>
      <c r="L256" s="13">
        <v>117821.94</v>
      </c>
      <c r="M256" t="s">
        <v>158</v>
      </c>
      <c r="N256">
        <v>5569807000163</v>
      </c>
    </row>
    <row r="257" spans="1:14" ht="63.75" x14ac:dyDescent="0.25">
      <c r="A257" s="12" t="s">
        <v>34</v>
      </c>
      <c r="B257" s="2" t="s">
        <v>323</v>
      </c>
      <c r="C257" s="3" t="str">
        <f>HYPERLINK("https://transparencia-area-fim.mpce.mp.br/#/consulta/processo/pastadigital/092024000123614","09.2024.00012361-4")</f>
        <v>09.2024.00012361-4</v>
      </c>
      <c r="D257" s="4">
        <v>45392</v>
      </c>
      <c r="E257" s="16" t="str">
        <f>HYPERLINK("https://www8.mpce.mp.br/Empenhos/150001/Objeto/16-2017.pdf","EMPENHO DE TMRSU REFERENTE A 3ª PARCELA DE 2024 DO IMÓVEL ONDE FUNCIONAVAM AS PROMOTORIAS DE JUSTIÇA CRIMINAIS, LOCALIZADAS À AV. CEL. JOSÉ FILOMENO GOMES, 222, BAIRRO LUCIANO CAVALCANTE, CONF. CONTRATO Nº 016/2017/PGJ.")</f>
        <v>EMPENHO DE TMRSU REFERENTE A 3ª PARCELA DE 2024 DO IMÓVEL ONDE FUNCIONAVAM AS PROMOTORIAS DE JUSTIÇA CRIMINAIS, LOCALIZADAS À AV. CEL. JOSÉ FILOMENO GOMES, 222, BAIRRO LUCIANO CAVALCANTE, CONF. CONTRATO Nº 016/2017/PGJ.</v>
      </c>
      <c r="F257" s="2" t="s">
        <v>252</v>
      </c>
      <c r="G257" s="5" t="str">
        <f>HYPERLINK("http://www8.mpce.mp.br/Empenhos/150501/NE/2024NE000343.pdf","2024NE000343")</f>
        <v>2024NE000343</v>
      </c>
      <c r="H257" s="6">
        <v>152.32</v>
      </c>
      <c r="I257" s="7" t="s">
        <v>158</v>
      </c>
      <c r="J257" s="10" t="s">
        <v>159</v>
      </c>
      <c r="K257" t="str">
        <f>HYPERLINK("http://www8.mpce.mp.br/Empenhos/150501/NE/2024NE000169.pdf","2024NE000169")</f>
        <v>2024NE000169</v>
      </c>
      <c r="L257" s="13">
        <v>36000</v>
      </c>
      <c r="M257" t="s">
        <v>146</v>
      </c>
      <c r="N257">
        <v>41456187000110</v>
      </c>
    </row>
    <row r="258" spans="1:14" ht="38.25" x14ac:dyDescent="0.25">
      <c r="A258" s="12" t="s">
        <v>9</v>
      </c>
      <c r="B258" s="2" t="s">
        <v>397</v>
      </c>
      <c r="C258" s="3" t="str">
        <f>HYPERLINK("http://www8.mpce.mp.br/Inexigibilidade/2903020176.pdf","29030/2017-6")</f>
        <v>29030/2017-6</v>
      </c>
      <c r="D258" s="4">
        <v>45394</v>
      </c>
      <c r="E258" s="16" t="str">
        <f>HYPERLINK("https://www8.mpce.mp.br/Empenhos/150001/Objeto/31-2018.pdf","SERVIÇOS DE SUSTENTAÇÃO SISTEMA SAJ - MP / GETF, CONF. CONTRATO Nº 031/2018 E PROJETO Nº 52/2023, INERENTE AO MÊS DE ABRIL DE 2024.")</f>
        <v>SERVIÇOS DE SUSTENTAÇÃO SISTEMA SAJ - MP / GETF, CONF. CONTRATO Nº 031/2018 E PROJETO Nº 52/2023, INERENTE AO MÊS DE ABRIL DE 2024.</v>
      </c>
      <c r="F258" s="2" t="s">
        <v>71</v>
      </c>
      <c r="G258" s="5" t="str">
        <f>HYPERLINK("http://www8.mpce.mp.br/Empenhos/150501/NE/2024NE000344.pdf","2024NE000344")</f>
        <v>2024NE000344</v>
      </c>
      <c r="H258" s="6">
        <v>136479.79</v>
      </c>
      <c r="I258" s="7" t="s">
        <v>72</v>
      </c>
      <c r="J258" s="10" t="s">
        <v>73</v>
      </c>
      <c r="K258" t="str">
        <f>HYPERLINK("http://www8.mpce.mp.br/Empenhos/150501/NE/2024NE000170.pdf","2024NE000170")</f>
        <v>2024NE000170</v>
      </c>
      <c r="L258" s="13">
        <v>1431.35</v>
      </c>
      <c r="M258" t="s">
        <v>140</v>
      </c>
      <c r="N258">
        <v>15473585000134</v>
      </c>
    </row>
    <row r="259" spans="1:14" ht="38.25" x14ac:dyDescent="0.25">
      <c r="A259" s="12" t="s">
        <v>9</v>
      </c>
      <c r="B259" s="2" t="s">
        <v>398</v>
      </c>
      <c r="C259" s="3" t="str">
        <f>HYPERLINK("http://www8.mpce.mp.br/Inexigibilidade/2903020176.pdf","29030/2017-6")</f>
        <v>29030/2017-6</v>
      </c>
      <c r="D259" s="4">
        <v>45394</v>
      </c>
      <c r="E259" s="16" t="str">
        <f>HYPERLINK("https://www8.mpce.mp.br/Empenhos/150001/Objeto/31-2018.pdf","SISTEMA DE SUSTENTAÇÃO SAJ - MP, CONF. CONTRATO Nº 31/2018 E PROJETO Nº 52/2023, REFERENTE AO MÊS DE ABRIL DE 2024.")</f>
        <v>SISTEMA DE SUSTENTAÇÃO SAJ - MP, CONF. CONTRATO Nº 31/2018 E PROJETO Nº 52/2023, REFERENTE AO MÊS DE ABRIL DE 2024.</v>
      </c>
      <c r="F259" s="2" t="s">
        <v>71</v>
      </c>
      <c r="G259" s="5" t="str">
        <f>HYPERLINK("http://www8.mpce.mp.br/Empenhos/150501/NE/2024NE000347.pdf","2024NE000347")</f>
        <v>2024NE000347</v>
      </c>
      <c r="H259" s="6">
        <v>73489.119999999995</v>
      </c>
      <c r="I259" s="7" t="s">
        <v>72</v>
      </c>
      <c r="J259" s="10" t="s">
        <v>73</v>
      </c>
      <c r="K259" t="str">
        <f>HYPERLINK("http://www8.mpce.mp.br/Empenhos/150501/NE/2024NE000171.pdf","2024NE000171")</f>
        <v>2024NE000171</v>
      </c>
      <c r="L259" s="13">
        <v>10800</v>
      </c>
      <c r="M259" t="s">
        <v>156</v>
      </c>
      <c r="N259">
        <v>33457311000133</v>
      </c>
    </row>
    <row r="260" spans="1:14" ht="51" x14ac:dyDescent="0.25">
      <c r="A260" s="12" t="s">
        <v>9</v>
      </c>
      <c r="B260" s="2" t="s">
        <v>397</v>
      </c>
      <c r="C260" s="3" t="str">
        <f>HYPERLINK("http://www8.mpce.mp.br/Inexigibilidade/2903020176.pdf","29030/2017-6")</f>
        <v>29030/2017-6</v>
      </c>
      <c r="D260" s="4">
        <v>45394</v>
      </c>
      <c r="E260" s="16" t="str">
        <f>HYPERLINK("https://www8.mpce.mp.br/Empenhos/150001/Objeto/31-2018.pdf","SISTEMA  SAJ - MP (SOB DEMANADA), CICLO: 2024 -2, CONF. CONTRATO Nº 31/2018 E PROJETO Nº 52/2023, REFERENTE AO MESES DE ABRIL, MAIO E JUNHO (PROPORCIONAL 13 DIAS) DE 2024.")</f>
        <v>SISTEMA  SAJ - MP (SOB DEMANADA), CICLO: 2024 -2, CONF. CONTRATO Nº 31/2018 E PROJETO Nº 52/2023, REFERENTE AO MESES DE ABRIL, MAIO E JUNHO (PROPORCIONAL 13 DIAS) DE 2024.</v>
      </c>
      <c r="F260" s="2" t="s">
        <v>71</v>
      </c>
      <c r="G260" s="5" t="str">
        <f>HYPERLINK("http://www8.mpce.mp.br/Empenhos/150501/NE/2024NE000348.pdf","2024NE000348")</f>
        <v>2024NE000348</v>
      </c>
      <c r="H260" s="6">
        <v>22627.360000000001</v>
      </c>
      <c r="I260" s="7" t="s">
        <v>72</v>
      </c>
      <c r="J260" s="10" t="s">
        <v>73</v>
      </c>
      <c r="K260" t="str">
        <f>HYPERLINK("http://www8.mpce.mp.br/Empenhos/150501/NE/2024NE000172.pdf","2024NE000172")</f>
        <v>2024NE000172</v>
      </c>
      <c r="L260" s="13">
        <v>132322.82</v>
      </c>
      <c r="M260" t="s">
        <v>132</v>
      </c>
      <c r="N260">
        <v>11710431000168</v>
      </c>
    </row>
    <row r="261" spans="1:14" ht="38.25" x14ac:dyDescent="0.25">
      <c r="A261" s="12" t="s">
        <v>9</v>
      </c>
      <c r="B261" s="2" t="s">
        <v>397</v>
      </c>
      <c r="C261" s="3" t="str">
        <f>HYPERLINK("http://www8.mpce.mp.br/Inexigibilidade/2903020176.pdf","29030/2017-6")</f>
        <v>29030/2017-6</v>
      </c>
      <c r="D261" s="4">
        <v>45393</v>
      </c>
      <c r="E261" s="16" t="str">
        <f>HYPERLINK("https://www8.mpce.mp.br/Empenhos/150001/Objeto/31-2018.pdf","SISTEMA  SAJ - MP - SUPORTE 1º NÍVEL,  CONF. CONTRATO Nº 31/2018 E PROJETO Nº 52/2023, REFERENTE AO MÊS DE ABRIL DE 2024.")</f>
        <v>SISTEMA  SAJ - MP - SUPORTE 1º NÍVEL,  CONF. CONTRATO Nº 31/2018 E PROJETO Nº 52/2023, REFERENTE AO MÊS DE ABRIL DE 2024.</v>
      </c>
      <c r="F261" s="2" t="s">
        <v>71</v>
      </c>
      <c r="G261" s="5" t="str">
        <f>HYPERLINK("http://www8.mpce.mp.br/Empenhos/150501/NE/2024NE000349.pdf","2024NE000349")</f>
        <v>2024NE000349</v>
      </c>
      <c r="H261" s="6">
        <v>160000</v>
      </c>
      <c r="I261" s="7" t="s">
        <v>72</v>
      </c>
      <c r="J261" s="10" t="s">
        <v>73</v>
      </c>
      <c r="K261" t="str">
        <f>HYPERLINK("http://www8.mpce.mp.br/Empenhos/150501/NE/2024NE000173.pdf","2024NE000173")</f>
        <v>2024NE000173</v>
      </c>
      <c r="L261" s="13">
        <v>32868.519999999997</v>
      </c>
      <c r="M261" t="s">
        <v>132</v>
      </c>
      <c r="N261">
        <v>11710431000168</v>
      </c>
    </row>
    <row r="262" spans="1:14" ht="51" x14ac:dyDescent="0.25">
      <c r="A262" s="12" t="s">
        <v>9</v>
      </c>
      <c r="B262" s="2" t="s">
        <v>397</v>
      </c>
      <c r="C262" s="3" t="str">
        <f>HYPERLINK("http://www8.mpce.mp.br/Inexigibilidade/2903020176.pdf","29030/2017-6")</f>
        <v>29030/2017-6</v>
      </c>
      <c r="D262" s="4">
        <v>45393</v>
      </c>
      <c r="E262" s="16" t="str">
        <f>HYPERLINK("https://www8.mpce.mp.br/Empenhos/150001/Objeto/31-2018.pdf","SISTEMA  SAJ - MP - ACOMPANHAMENTO DA OPERAÇÃO E HOSPEDAGEM EM NUVEM,  CONF. CONTRATO Nº 31/2018 E PROJETO Nº 52/2023, REFERENTE AO MÊS DE ABRIL DE 2024.")</f>
        <v>SISTEMA  SAJ - MP - ACOMPANHAMENTO DA OPERAÇÃO E HOSPEDAGEM EM NUVEM,  CONF. CONTRATO Nº 31/2018 E PROJETO Nº 52/2023, REFERENTE AO MÊS DE ABRIL DE 2024.</v>
      </c>
      <c r="F262" s="2" t="s">
        <v>71</v>
      </c>
      <c r="G262" s="5" t="str">
        <f>HYPERLINK("http://www8.mpce.mp.br/Empenhos/150501/NE/2024NE000350.pdf","2024NE000350")</f>
        <v>2024NE000350</v>
      </c>
      <c r="H262" s="6">
        <v>164387.07</v>
      </c>
      <c r="I262" s="7" t="s">
        <v>72</v>
      </c>
      <c r="J262" s="10" t="s">
        <v>73</v>
      </c>
      <c r="K262" t="str">
        <f>HYPERLINK("http://www8.mpce.mp.br/Empenhos/150501/NE/2024NE000174.pdf","2024NE000174")</f>
        <v>2024NE000174</v>
      </c>
      <c r="L262" s="13">
        <v>19996.7</v>
      </c>
      <c r="M262" t="s">
        <v>254</v>
      </c>
      <c r="N262">
        <v>8918421000108</v>
      </c>
    </row>
    <row r="263" spans="1:14" ht="38.25" x14ac:dyDescent="0.25">
      <c r="A263" s="12" t="s">
        <v>9</v>
      </c>
      <c r="B263" s="2" t="s">
        <v>399</v>
      </c>
      <c r="C263" s="3" t="str">
        <f>HYPERLINK("https://transparencia-area-fim.mpce.mp.br/#/consulta/processo/pastadigital/092023000287946","09.2023.00028794-6")</f>
        <v>09.2023.00028794-6</v>
      </c>
      <c r="D263" s="4">
        <v>45393</v>
      </c>
      <c r="E263" s="16" t="str">
        <f>HYPERLINK("https://www8.mpce.mp.br/Empenhos/150001/Objeto/59-2023.pdf","LICENÇAS DE SOFTWARE, CONFORME CONTRATO 059/2023, POR ESTIMATIVA PARA OS MESES DE ABRIL, MAIO E JUNHO DE 2024. PROJETO 65/2023.")</f>
        <v>LICENÇAS DE SOFTWARE, CONFORME CONTRATO 059/2023, POR ESTIMATIVA PARA OS MESES DE ABRIL, MAIO E JUNHO DE 2024. PROJETO 65/2023.</v>
      </c>
      <c r="F263" s="2" t="s">
        <v>109</v>
      </c>
      <c r="G263" s="5" t="str">
        <f>HYPERLINK("http://www8.mpce.mp.br/Empenhos/150501/NE/2024NE000352.pdf","2024NE000352")</f>
        <v>2024NE000352</v>
      </c>
      <c r="H263" s="6">
        <v>7594.5</v>
      </c>
      <c r="I263" s="7" t="s">
        <v>110</v>
      </c>
      <c r="J263" s="10" t="s">
        <v>111</v>
      </c>
      <c r="K263" t="str">
        <f>HYPERLINK("http://www8.mpce.mp.br/Empenhos/150501/NE/2024NE000175.pdf","2024NE000175")</f>
        <v>2024NE000175</v>
      </c>
      <c r="L263" s="13">
        <v>28360</v>
      </c>
      <c r="M263" t="s">
        <v>129</v>
      </c>
      <c r="N263">
        <v>32697604000125</v>
      </c>
    </row>
    <row r="264" spans="1:14" ht="51" x14ac:dyDescent="0.25">
      <c r="A264" s="12" t="s">
        <v>34</v>
      </c>
      <c r="B264" s="2" t="s">
        <v>400</v>
      </c>
      <c r="C264" s="3" t="str">
        <f>HYPERLINK("https://transparencia-area-fim.mpce.mp.br/#/consulta/processo/pastadigital/092024000089200","09.2024.00008920-0")</f>
        <v>09.2024.00008920-0</v>
      </c>
      <c r="D264" s="4">
        <v>45392</v>
      </c>
      <c r="E264" s="16" t="s">
        <v>401</v>
      </c>
      <c r="F264" s="2" t="s">
        <v>116</v>
      </c>
      <c r="G264" s="5" t="str">
        <f>HYPERLINK("http://www8.mpce.mp.br/Empenhos/150501/NE/2024NE000354.pdf","2024NE000354")</f>
        <v>2024NE000354</v>
      </c>
      <c r="H264" s="6">
        <v>13486.5</v>
      </c>
      <c r="I264" s="7" t="s">
        <v>402</v>
      </c>
      <c r="J264" s="10" t="s">
        <v>841</v>
      </c>
      <c r="K264" t="str">
        <f>HYPERLINK("http://www8.mpce.mp.br/Empenhos/150501/NE/2024NE000176.pdf","2024NE000176")</f>
        <v>2024NE000176</v>
      </c>
      <c r="L264" s="13">
        <v>8000</v>
      </c>
      <c r="M264" t="s">
        <v>162</v>
      </c>
      <c r="N264">
        <v>19678451824</v>
      </c>
    </row>
    <row r="265" spans="1:14" ht="51" x14ac:dyDescent="0.25">
      <c r="A265" s="12" t="s">
        <v>34</v>
      </c>
      <c r="B265" s="2" t="s">
        <v>403</v>
      </c>
      <c r="C265" s="3" t="str">
        <f>HYPERLINK("https://transparencia-area-fim.mpce.mp.br/#/consulta/processo/pastadigital/092021000244550","09.2021.00024455-0")</f>
        <v>09.2021.00024455-0</v>
      </c>
      <c r="D265" s="4">
        <v>45392</v>
      </c>
      <c r="E265" s="16" t="str">
        <f>HYPERLINK("https://www8.mpce.mp.br/Empenhos/150001/Objeto/10-2022.pdf","ALUGUEL DO IMÓVEL QUE ABRIGA A SEDE DAS PROMOTORIAS DE JUSTIÇA DA COMARCA DE ICÓ, CONF. CONTRATO 010/2022-1º ADITIVO, REF. ABR/2024, POR ESTIMATIVA.")</f>
        <v>ALUGUEL DO IMÓVEL QUE ABRIGA A SEDE DAS PROMOTORIAS DE JUSTIÇA DA COMARCA DE ICÓ, CONF. CONTRATO 010/2022-1º ADITIVO, REF. ABR/2024, POR ESTIMATIVA.</v>
      </c>
      <c r="F265" s="2" t="s">
        <v>116</v>
      </c>
      <c r="G265" s="5" t="str">
        <f>HYPERLINK("http://www8.mpce.mp.br/Empenhos/150501/NE/2024NE000357.pdf","2024NE000357")</f>
        <v>2024NE000357</v>
      </c>
      <c r="H265" s="6">
        <v>13486.5</v>
      </c>
      <c r="I265" s="7" t="s">
        <v>402</v>
      </c>
      <c r="J265" s="10" t="s">
        <v>841</v>
      </c>
      <c r="K265" t="str">
        <f>HYPERLINK("http://www8.mpce.mp.br/Empenhos/150501/NE/2024NE000177.pdf","2024NE000177")</f>
        <v>2024NE000177</v>
      </c>
      <c r="L265" s="13">
        <v>52000.2</v>
      </c>
      <c r="M265" t="s">
        <v>134</v>
      </c>
      <c r="N265">
        <v>44114554000195</v>
      </c>
    </row>
    <row r="266" spans="1:14" ht="38.25" x14ac:dyDescent="0.25">
      <c r="A266" s="12" t="s">
        <v>9</v>
      </c>
      <c r="B266" s="2" t="s">
        <v>404</v>
      </c>
      <c r="C266" s="3" t="str">
        <f>HYPERLINK("https://transparencia-area-fim.mpce.mp.br/#/consulta/processo/pastadigital/092021000204268","09.2021.00020426-8")</f>
        <v>09.2021.00020426-8</v>
      </c>
      <c r="D266" s="4">
        <v>45351</v>
      </c>
      <c r="E266" s="16" t="str">
        <f>HYPERLINK("https://www8.mpce.mp.br/Empenhos/150001/Objeto/36-2021.pdf","DOI REGISTRADO E SIMILARITY CHECK (VERIFICADOR DE PLÁGIO), CONF. CONTRATO 036/2021, REF. 2024, POR ESTIMATIVA.")</f>
        <v>DOI REGISTRADO E SIMILARITY CHECK (VERIFICADOR DE PLÁGIO), CONF. CONTRATO 036/2021, REF. 2024, POR ESTIMATIVA.</v>
      </c>
      <c r="F266" s="2" t="s">
        <v>81</v>
      </c>
      <c r="G266" s="5" t="str">
        <f>HYPERLINK("http://www8.mpce.mp.br/Empenhos/150001/NE/2024NE000358.pdf","2024NE000358")</f>
        <v>2024NE000358</v>
      </c>
      <c r="H266" s="6">
        <v>367.2</v>
      </c>
      <c r="I266" s="7" t="s">
        <v>345</v>
      </c>
      <c r="J266" s="10" t="s">
        <v>837</v>
      </c>
      <c r="K266" t="str">
        <f>HYPERLINK("http://www8.mpce.mp.br/Empenhos/150501/NE/2024NE000178.pdf","2024NE000178")</f>
        <v>2024NE000178</v>
      </c>
      <c r="L266" s="13">
        <v>1360.06</v>
      </c>
      <c r="M266" t="s">
        <v>219</v>
      </c>
      <c r="N266">
        <v>20941439372</v>
      </c>
    </row>
    <row r="267" spans="1:14" ht="51" x14ac:dyDescent="0.25">
      <c r="A267" s="12" t="s">
        <v>34</v>
      </c>
      <c r="B267" s="2" t="s">
        <v>403</v>
      </c>
      <c r="C267" s="3" t="str">
        <f>HYPERLINK("https://transparencia-area-fim.mpce.mp.br/#/consulta/processo/pastadigital/092021000244550","09.2021.00024455-0")</f>
        <v>09.2021.00024455-0</v>
      </c>
      <c r="D267" s="4">
        <v>45393</v>
      </c>
      <c r="E267" s="16" t="str">
        <f>HYPERLINK("https://www8.mpce.mp.br/Empenhos/150001/Objeto/10-2022.pdf","ALUGUEL DO IMÓVEL QUE ABRIGA A SEDE DAS PROMOTORIAS DE JUSTIÇA DA COMARCA DE ICÓ, CONF. CONTRATO 010/2022-1º ADITIVO, REF. MAI E JUN/2024, POR ESTIMATIVA.")</f>
        <v>ALUGUEL DO IMÓVEL QUE ABRIGA A SEDE DAS PROMOTORIAS DE JUSTIÇA DA COMARCA DE ICÓ, CONF. CONTRATO 010/2022-1º ADITIVO, REF. MAI E JUN/2024, POR ESTIMATIVA.</v>
      </c>
      <c r="F267" s="2" t="s">
        <v>116</v>
      </c>
      <c r="G267" s="5" t="str">
        <f>HYPERLINK("http://www8.mpce.mp.br/Empenhos/150501/NE/2024NE000361.pdf","2024NE000361")</f>
        <v>2024NE000361</v>
      </c>
      <c r="H267" s="6">
        <v>26973</v>
      </c>
      <c r="I267" s="7" t="s">
        <v>402</v>
      </c>
      <c r="J267" s="10" t="s">
        <v>841</v>
      </c>
      <c r="K267" t="str">
        <f>HYPERLINK("http://www8.mpce.mp.br/Empenhos/150501/NE/2024NE000180.pdf","2024NE000180")</f>
        <v>2024NE000180</v>
      </c>
      <c r="L267" s="13">
        <v>3371.64</v>
      </c>
      <c r="M267" t="s">
        <v>199</v>
      </c>
      <c r="N267">
        <v>4514670359</v>
      </c>
    </row>
    <row r="268" spans="1:14" ht="25.5" x14ac:dyDescent="0.25">
      <c r="A268" s="12" t="s">
        <v>34</v>
      </c>
      <c r="B268" s="2" t="s">
        <v>323</v>
      </c>
      <c r="C268" s="3" t="str">
        <f>HYPERLINK("https://transparencia-area-fim.mpce.mp.br/#/consulta/processo/pastadigital/092024000126711","09.2024.00012671-1")</f>
        <v>09.2024.00012671-1</v>
      </c>
      <c r="D268" s="4">
        <v>45393</v>
      </c>
      <c r="E268" s="16" t="str">
        <f>HYPERLINK("https://www8.mpce.mp.br/Empenhos/150001/Objeto/16-2017.pdf","EMPENHO DE TMRSU REFERENTE A 4ª PARCELA DE 2024, EM CONSONÂNCIA AO CONTRATO Nº 016/2017/PGJ.")</f>
        <v>EMPENHO DE TMRSU REFERENTE A 4ª PARCELA DE 2024, EM CONSONÂNCIA AO CONTRATO Nº 016/2017/PGJ.</v>
      </c>
      <c r="F268" s="2" t="s">
        <v>252</v>
      </c>
      <c r="G268" s="5" t="str">
        <f>HYPERLINK("http://www8.mpce.mp.br/Empenhos/150501/NE/2024NE000362.pdf","2024NE000362")</f>
        <v>2024NE000362</v>
      </c>
      <c r="H268" s="6">
        <v>152.32</v>
      </c>
      <c r="I268" s="7" t="s">
        <v>158</v>
      </c>
      <c r="J268" s="10" t="s">
        <v>159</v>
      </c>
      <c r="K268" t="str">
        <f>HYPERLINK("http://www8.mpce.mp.br/Empenhos/150501/NE/2024NE000181.pdf","2024NE000181")</f>
        <v>2024NE000181</v>
      </c>
      <c r="L268" s="13">
        <v>36930</v>
      </c>
      <c r="M268" t="s">
        <v>171</v>
      </c>
      <c r="N268">
        <v>7936046000166</v>
      </c>
    </row>
    <row r="269" spans="1:14" ht="38.25" x14ac:dyDescent="0.25">
      <c r="A269" s="12" t="s">
        <v>9</v>
      </c>
      <c r="B269" s="2" t="s">
        <v>80</v>
      </c>
      <c r="C269" s="3" t="str">
        <f>HYPERLINK("https://transparencia-area-fim.mpce.mp.br/#/consulta/processo/pastadigital/092023000047305","09.2023.00004730-5")</f>
        <v>09.2023.00004730-5</v>
      </c>
      <c r="D269" s="4">
        <v>45351</v>
      </c>
      <c r="E269" s="16" t="str">
        <f>HYPERLINK("https://www8.mpce.mp.br/Empenhos/150001/Objeto/13-2023.pdf","EMISSÃO DO ISBN, CÓDIGO DE BARRAS E REGISTROS AUTORAIS DE LIVROS DO MPCE, CONF. CONTRATO 013/2023, REF. FEV-DEZ/2024, POR ESTIMATIVA.")</f>
        <v>EMISSÃO DO ISBN, CÓDIGO DE BARRAS E REGISTROS AUTORAIS DE LIVROS DO MPCE, CONF. CONTRATO 013/2023, REF. FEV-DEZ/2024, POR ESTIMATIVA.</v>
      </c>
      <c r="F269" s="2" t="s">
        <v>81</v>
      </c>
      <c r="G269" s="5" t="str">
        <f>HYPERLINK("http://www8.mpce.mp.br/Empenhos/150001/NE/2024NE000365.pdf","2024NE000365")</f>
        <v>2024NE000365</v>
      </c>
      <c r="H269" s="6">
        <v>6236</v>
      </c>
      <c r="I269" s="7" t="s">
        <v>405</v>
      </c>
      <c r="J269" s="10" t="s">
        <v>842</v>
      </c>
      <c r="K269" t="str">
        <f>HYPERLINK("http://www8.mpce.mp.br/Empenhos/150501/NE/2024NE000182.pdf","2024NE000182")</f>
        <v>2024NE000182</v>
      </c>
      <c r="L269" s="13">
        <v>16300.56</v>
      </c>
      <c r="M269" t="s">
        <v>177</v>
      </c>
      <c r="N269">
        <v>2144832315</v>
      </c>
    </row>
    <row r="270" spans="1:14" ht="38.25" x14ac:dyDescent="0.25">
      <c r="A270" s="12" t="s">
        <v>34</v>
      </c>
      <c r="B270" s="2" t="s">
        <v>406</v>
      </c>
      <c r="C270" s="3" t="str">
        <f>HYPERLINK("https://transparencia-area-fim.mpce.mp.br/#/consulta/processo/pastadigital/092020000123310","09.2020.00012331-0")</f>
        <v>09.2020.00012331-0</v>
      </c>
      <c r="D270" s="4">
        <v>45351</v>
      </c>
      <c r="E270" s="16" t="str">
        <f>HYPERLINK("https://www8.mpce.mp.br/Empenhos/150001/Objeto/06-2021.pdf","SERVIÇOS DE HOSPEDAGEM EM NUVENS DOS VOLUMES DA REVISTA ACADÊMICA DA ESMP, CONF. CONTRATO 006/2021, REF. JAN/2024.")</f>
        <v>SERVIÇOS DE HOSPEDAGEM EM NUVENS DOS VOLUMES DA REVISTA ACADÊMICA DA ESMP, CONF. CONTRATO 006/2021, REF. JAN/2024.</v>
      </c>
      <c r="F270" s="2" t="s">
        <v>407</v>
      </c>
      <c r="G270" s="5" t="str">
        <f>HYPERLINK("http://www8.mpce.mp.br/Empenhos/150001/NE/2024NE000366.pdf","2024NE000366")</f>
        <v>2024NE000366</v>
      </c>
      <c r="H270" s="6">
        <v>139</v>
      </c>
      <c r="I270" s="7" t="s">
        <v>408</v>
      </c>
      <c r="J270" s="10" t="s">
        <v>843</v>
      </c>
      <c r="K270" t="str">
        <f>HYPERLINK("http://www8.mpce.mp.br/Empenhos/150501/NE/2024NE000183.pdf","2024NE000183")</f>
        <v>2024NE000183</v>
      </c>
      <c r="L270" s="13">
        <v>16740</v>
      </c>
      <c r="M270" t="s">
        <v>215</v>
      </c>
      <c r="N270">
        <v>21134653000133</v>
      </c>
    </row>
    <row r="271" spans="1:14" ht="38.25" x14ac:dyDescent="0.25">
      <c r="A271" s="12" t="s">
        <v>34</v>
      </c>
      <c r="B271" s="2" t="s">
        <v>406</v>
      </c>
      <c r="C271" s="3" t="str">
        <f>HYPERLINK("https://transparencia-area-fim.mpce.mp.br/#/consulta/processo/pastadigital/092020000123310","09.2020.00012331-0")</f>
        <v>09.2020.00012331-0</v>
      </c>
      <c r="D271" s="4">
        <v>45351</v>
      </c>
      <c r="E271" s="16" t="str">
        <f>HYPERLINK("https://www8.mpce.mp.br/Empenhos/150001/Objeto/06-2021.pdf","SERVIÇOS DE HOSPEDAGEM EM NUVENS DOS VOLUMES DA REVISTA ACADÊMICA DA ESMP, CONF. CONTRATO 006/2021, REF. FEV-DEZ/2024, POR ESTIMATIVA.")</f>
        <v>SERVIÇOS DE HOSPEDAGEM EM NUVENS DOS VOLUMES DA REVISTA ACADÊMICA DA ESMP, CONF. CONTRATO 006/2021, REF. FEV-DEZ/2024, POR ESTIMATIVA.</v>
      </c>
      <c r="F271" s="2" t="s">
        <v>407</v>
      </c>
      <c r="G271" s="5" t="str">
        <f>HYPERLINK("http://www8.mpce.mp.br/Empenhos/150001/NE/2024NE000367.pdf","2024NE000367")</f>
        <v>2024NE000367</v>
      </c>
      <c r="H271" s="6">
        <v>1529</v>
      </c>
      <c r="I271" s="7" t="s">
        <v>408</v>
      </c>
      <c r="J271" s="10" t="s">
        <v>843</v>
      </c>
      <c r="K271" t="str">
        <f>HYPERLINK("http://www8.mpce.mp.br/Empenhos/150501/NE/2024NE000184.pdf","2024NE000184")</f>
        <v>2024NE000184</v>
      </c>
      <c r="L271" s="13">
        <v>5871.42</v>
      </c>
      <c r="M271" t="s">
        <v>179</v>
      </c>
      <c r="N271">
        <v>77748638349</v>
      </c>
    </row>
    <row r="272" spans="1:14" ht="51" x14ac:dyDescent="0.25">
      <c r="A272" s="12" t="s">
        <v>34</v>
      </c>
      <c r="B272" s="2" t="s">
        <v>334</v>
      </c>
      <c r="C272" s="3" t="str">
        <f>HYPERLINK("http://www8.mpce.mp.br/Dispensa/1955220197.pdf","19552/2019-7")</f>
        <v>19552/2019-7</v>
      </c>
      <c r="D272" s="4">
        <v>45394</v>
      </c>
      <c r="E272" s="16" t="str">
        <f>HYPERLINK("https://www8.mpce.mp.br/Empenhos/150001/Objeto/85-2019.pdf","REEMBOLSO DE IPTU DO IMÓVEL ONDE FUNCIONA A SEDE DAS PROMOTORIAS DE JUSTIÇA DA COMARCA DE PARAIPABA, CONF. CONTRATO 085/2019, REF. 2024  PARCELA ÚNICA. ")</f>
        <v xml:space="preserve">REEMBOLSO DE IPTU DO IMÓVEL ONDE FUNCIONA A SEDE DAS PROMOTORIAS DE JUSTIÇA DA COMARCA DE PARAIPABA, CONF. CONTRATO 085/2019, REF. 2024  PARCELA ÚNICA. </v>
      </c>
      <c r="F272" s="2" t="s">
        <v>388</v>
      </c>
      <c r="G272" s="5" t="str">
        <f>HYPERLINK("http://www8.mpce.mp.br/Empenhos/150501/NE/2024NE000368.pdf","2024NE000368")</f>
        <v>2024NE000368</v>
      </c>
      <c r="H272" s="6">
        <v>100.29</v>
      </c>
      <c r="I272" s="7" t="s">
        <v>186</v>
      </c>
      <c r="J272" s="10" t="s">
        <v>187</v>
      </c>
      <c r="K272" t="str">
        <f>HYPERLINK("http://www8.mpce.mp.br/Empenhos/150501/NE/2024NE000185.pdf","2024NE000185")</f>
        <v>2024NE000185</v>
      </c>
      <c r="L272" s="13">
        <v>26973</v>
      </c>
      <c r="M272" t="s">
        <v>217</v>
      </c>
      <c r="N272">
        <v>8034508420</v>
      </c>
    </row>
    <row r="273" spans="1:14" ht="56.25" x14ac:dyDescent="0.25">
      <c r="A273" s="12" t="s">
        <v>34</v>
      </c>
      <c r="B273" s="2" t="s">
        <v>448</v>
      </c>
      <c r="C273" s="3" t="str">
        <f>HYPERLINK("https://transparencia-area-fim.mpce.mp.br/#/consulta/processo/pastadigital/092023000287468","09.2023.00028746-8")</f>
        <v>09.2023.00028746-8</v>
      </c>
      <c r="D273" s="4">
        <v>45405</v>
      </c>
      <c r="E273" s="16" t="str">
        <f>HYPERLINK("https://www8.mpce.mp.br/Empenhos/150001/Objeto/58-2023.pdf","EMPENHO REF. SERVIÇOS DE SUPORTE TÉCNICO DE SISTEMA E TREINAMENTO ESPECÍFICO, CONF. CONTRATO 058/2023 E PROJETO 052/2023/FRMMP, REF. 2024, POR ESTIMATIVA. ")</f>
        <v xml:space="preserve">EMPENHO REF. SERVIÇOS DE SUPORTE TÉCNICO DE SISTEMA E TREINAMENTO ESPECÍFICO, CONF. CONTRATO 058/2023 E PROJETO 052/2023/FRMMP, REF. 2024, POR ESTIMATIVA. </v>
      </c>
      <c r="F273" s="2" t="s">
        <v>109</v>
      </c>
      <c r="G273" s="5" t="str">
        <f>HYPERLINK("http://www8.mpce.mp.br/Empenhos/150501/NE/2024NE000389.pdf","2024NE000389")</f>
        <v>2024NE000389</v>
      </c>
      <c r="H273" s="6">
        <v>251545.76</v>
      </c>
      <c r="I273" s="7" t="s">
        <v>244</v>
      </c>
      <c r="J273" s="10" t="s">
        <v>245</v>
      </c>
      <c r="K273" t="str">
        <f>HYPERLINK("http://www8.mpce.mp.br/Empenhos/150501/NE/2024NE000186.pdf","2024NE000186")</f>
        <v>2024NE000186</v>
      </c>
      <c r="L273" s="13">
        <v>2130.3200000000002</v>
      </c>
      <c r="M273" t="s">
        <v>166</v>
      </c>
      <c r="N273">
        <v>81324910330</v>
      </c>
    </row>
    <row r="274" spans="1:14" ht="51" x14ac:dyDescent="0.25">
      <c r="A274" s="12" t="s">
        <v>34</v>
      </c>
      <c r="B274" s="2" t="s">
        <v>449</v>
      </c>
      <c r="C274" s="3" t="str">
        <f>HYPERLINK("http://www8.mpce.mp.br/Dispensa/2826420164.pdf","28264/2016-4")</f>
        <v>28264/2016-4</v>
      </c>
      <c r="D274" s="4">
        <v>45406</v>
      </c>
      <c r="E274" s="16" t="str">
        <f>HYPERLINK("https://www8.mpce.mp.br/Empenhos/150001/Objeto/26-2016.pdf","EMPENHO REF. REEMBOLSO DE IPTU DO IMÓVEL SITUADO NA AV. ANTONIO SALES, 1740 - DIONÍSIO TORRES, ONDE FUNCIONAM AS SEDES DOS CENTROS DE APOIO E INVESTIGAÇÃO, REF. 2024 - 3ª PARCELA (MAR/2024).")</f>
        <v>EMPENHO REF. REEMBOLSO DE IPTU DO IMÓVEL SITUADO NA AV. ANTONIO SALES, 1740 - DIONÍSIO TORRES, ONDE FUNCIONAM AS SEDES DOS CENTROS DE APOIO E INVESTIGAÇÃO, REF. 2024 - 3ª PARCELA (MAR/2024).</v>
      </c>
      <c r="F274" s="2" t="s">
        <v>252</v>
      </c>
      <c r="G274" s="5" t="str">
        <f>HYPERLINK("http://www8.mpce.mp.br/Empenhos/150501/NE/2024NE000392.pdf","2024NE000392")</f>
        <v>2024NE000392</v>
      </c>
      <c r="H274" s="6">
        <v>3155.01</v>
      </c>
      <c r="I274" s="7" t="s">
        <v>142</v>
      </c>
      <c r="J274" s="10" t="s">
        <v>143</v>
      </c>
      <c r="K274" t="str">
        <f>HYPERLINK("http://www8.mpce.mp.br/Empenhos/150501/NE/2024NE000187.pdf","2024NE000187")</f>
        <v>2024NE000187</v>
      </c>
      <c r="L274" s="13">
        <v>8856.06</v>
      </c>
      <c r="M274" t="s">
        <v>148</v>
      </c>
      <c r="N274">
        <v>23889442000136</v>
      </c>
    </row>
    <row r="275" spans="1:14" ht="51" x14ac:dyDescent="0.25">
      <c r="A275" s="12" t="s">
        <v>34</v>
      </c>
      <c r="B275" s="2" t="s">
        <v>450</v>
      </c>
      <c r="C275" s="3" t="str">
        <f>HYPERLINK("http://www8.mpce.mp.br/Dispensa/1721020046.pdf","17210/2004-6")</f>
        <v>17210/2004-6</v>
      </c>
      <c r="D275" s="4">
        <v>45407</v>
      </c>
      <c r="E275" s="16" t="str">
        <f>HYPERLINK("https://www8.mpce.mp.br/Empenhos/150001/Objeto/02-2004.pdf","EMPENHO REF. ALUGUEL DO IMÓVEL SITUADO NA RUA BARÃO DE ARATANHA, 100 - CENTRO, FORTALEZA-CE, ONDE FUNCIONA A SEDE DO DECON-CE, REF. MAI-JUN/2024, POR ESTIMATIVA.")</f>
        <v>EMPENHO REF. ALUGUEL DO IMÓVEL SITUADO NA RUA BARÃO DE ARATANHA, 100 - CENTRO, FORTALEZA-CE, ONDE FUNCIONA A SEDE DO DECON-CE, REF. MAI-JUN/2024, POR ESTIMATIVA.</v>
      </c>
      <c r="F275" s="2" t="s">
        <v>116</v>
      </c>
      <c r="G275" s="5" t="str">
        <f>HYPERLINK("http://www8.mpce.mp.br/Empenhos/150501/NE/2024NE000393.pdf","2024NE000393")</f>
        <v>2024NE000393</v>
      </c>
      <c r="H275" s="6">
        <v>71579.399999999994</v>
      </c>
      <c r="I275" s="7" t="s">
        <v>120</v>
      </c>
      <c r="J275" s="10" t="s">
        <v>121</v>
      </c>
      <c r="K275" t="str">
        <f>HYPERLINK("http://www8.mpce.mp.br/Empenhos/150501/NE/2024NE000188.pdf","2024NE000188")</f>
        <v>2024NE000188</v>
      </c>
      <c r="L275" s="13">
        <v>2800</v>
      </c>
      <c r="M275" t="s">
        <v>173</v>
      </c>
      <c r="N275">
        <v>50591630320</v>
      </c>
    </row>
    <row r="276" spans="1:14" ht="56.25" x14ac:dyDescent="0.25">
      <c r="A276" s="12" t="s">
        <v>34</v>
      </c>
      <c r="B276" s="2" t="s">
        <v>451</v>
      </c>
      <c r="C276" s="3" t="str">
        <f>HYPERLINK("https://transparencia-area-fim.mpce.mp.br/#/consulta/processo/pastadigital/092022000197876","09.2022.00019787-6")</f>
        <v>09.2022.00019787-6</v>
      </c>
      <c r="D276" s="4">
        <v>45407</v>
      </c>
      <c r="E276" s="16" t="str">
        <f>HYPERLINK("https://www8.mpce.mp.br/Empenhos/150001/Objeto/02-2023.pdf","EMPENHO REF. ALUGUEL DO IMÓVEL ONDE FUNCIONA A SEDE DO NÚCLEO DE MEDIAÇÃO COMUNITÁRIA DO BOM JARDIM, CONF. CONTRATO 002/2023, REF. MAI-JUN/2024, POR ESTIMATIVA.")</f>
        <v>EMPENHO REF. ALUGUEL DO IMÓVEL ONDE FUNCIONA A SEDE DO NÚCLEO DE MEDIAÇÃO COMUNITÁRIA DO BOM JARDIM, CONF. CONTRATO 002/2023, REF. MAI-JUN/2024, POR ESTIMATIVA.</v>
      </c>
      <c r="F276" s="2" t="s">
        <v>116</v>
      </c>
      <c r="G276" s="5" t="str">
        <f>HYPERLINK("http://www8.mpce.mp.br/Empenhos/150501/NE/2024NE000394.pdf","2024NE000394")</f>
        <v>2024NE000394</v>
      </c>
      <c r="H276" s="6">
        <v>11200</v>
      </c>
      <c r="I276" s="7" t="s">
        <v>123</v>
      </c>
      <c r="J276" s="10" t="s">
        <v>124</v>
      </c>
      <c r="K276" t="str">
        <f>HYPERLINK("http://www8.mpce.mp.br/Empenhos/150501/NE/2024NE000189.pdf","2024NE000189")</f>
        <v>2024NE000189</v>
      </c>
      <c r="L276" s="13">
        <v>4376.0200000000004</v>
      </c>
      <c r="M276" t="s">
        <v>236</v>
      </c>
      <c r="N276">
        <v>49090674349</v>
      </c>
    </row>
    <row r="277" spans="1:14" ht="51" x14ac:dyDescent="0.25">
      <c r="A277" s="12" t="s">
        <v>34</v>
      </c>
      <c r="B277" s="2" t="s">
        <v>452</v>
      </c>
      <c r="C277" s="3" t="str">
        <f>HYPERLINK("https://transparencia-area-fim.mpce.mp.br/#/consulta/processo/pastadigital/092021000079244","09.2021.00007924-4")</f>
        <v>09.2021.00007924-4</v>
      </c>
      <c r="D277" s="4">
        <v>45407</v>
      </c>
      <c r="E277" s="16" t="str">
        <f>HYPERLINK("https://www8.mpce.mp.br/Empenhos/150001/Objeto/27-2021.pdf","EMPENHO REF. ALUGUEL DO IMÓVEL ONDE FUNCIONA A SEDE DAS PROMOTORIAS DE JUSTIÇA DA COMARCA DE EUSÉBIO, CONF. CONTRATO 027/2021,REF. MAI-JUN, POR ESTIMATIVA.")</f>
        <v>EMPENHO REF. ALUGUEL DO IMÓVEL ONDE FUNCIONA A SEDE DAS PROMOTORIAS DE JUSTIÇA DA COMARCA DE EUSÉBIO, CONF. CONTRATO 027/2021,REF. MAI-JUN, POR ESTIMATIVA.</v>
      </c>
      <c r="F277" s="2" t="s">
        <v>116</v>
      </c>
      <c r="G277" s="5" t="str">
        <f>HYPERLINK("http://www8.mpce.mp.br/Empenhos/150501/NE/2024NE000397.pdf","2024NE000397")</f>
        <v>2024NE000397</v>
      </c>
      <c r="H277" s="6">
        <v>11092.2</v>
      </c>
      <c r="I277" s="7" t="s">
        <v>144</v>
      </c>
      <c r="J277" s="10" t="s">
        <v>145</v>
      </c>
      <c r="K277" t="str">
        <f>HYPERLINK("http://www8.mpce.mp.br/Empenhos/150501/NE/2024NE000190.pdf","2024NE000190")</f>
        <v>2024NE000190</v>
      </c>
      <c r="L277" s="13">
        <v>2613.4</v>
      </c>
      <c r="M277" t="s">
        <v>186</v>
      </c>
      <c r="N277">
        <v>43713017387</v>
      </c>
    </row>
    <row r="278" spans="1:14" ht="51" x14ac:dyDescent="0.25">
      <c r="A278" s="12" t="s">
        <v>34</v>
      </c>
      <c r="B278" s="2" t="s">
        <v>453</v>
      </c>
      <c r="C278" s="3" t="str">
        <f>HYPERLINK("https://transparencia-area-fim.mpce.mp.br/#/consulta/processo/pastadigital/092021000079244","09.2021.00007924-4")</f>
        <v>09.2021.00007924-4</v>
      </c>
      <c r="D278" s="4">
        <v>45407</v>
      </c>
      <c r="E278" s="16" t="str">
        <f>HYPERLINK("https://www8.mpce.mp.br/Empenhos/150001/Objeto/27-2021.pdf","EMPENHO REF. TAXAS CONDOMINIAIS DO IMÓVEL ONDE FUNCIONA A SEDE DAS PROMOTORIAS DE JUSTIÇA DA COMARCA DE EUSÉBIO, CONF. CONTRATO 027/2021, REF. MAI-JUN, POR ESTIMATIVA.")</f>
        <v>EMPENHO REF. TAXAS CONDOMINIAIS DO IMÓVEL ONDE FUNCIONA A SEDE DAS PROMOTORIAS DE JUSTIÇA DA COMARCA DE EUSÉBIO, CONF. CONTRATO 027/2021, REF. MAI-JUN, POR ESTIMATIVA.</v>
      </c>
      <c r="F278" s="2" t="s">
        <v>231</v>
      </c>
      <c r="G278" s="5" t="str">
        <f>HYPERLINK("http://www8.mpce.mp.br/Empenhos/150501/NE/2024NE000398.pdf","2024NE000398")</f>
        <v>2024NE000398</v>
      </c>
      <c r="H278" s="6">
        <v>2975.76</v>
      </c>
      <c r="I278" s="7" t="s">
        <v>144</v>
      </c>
      <c r="J278" s="10" t="s">
        <v>145</v>
      </c>
      <c r="K278" t="str">
        <f>HYPERLINK("http://www8.mpce.mp.br/Empenhos/150001/NE/2024NE000191.pdf","2024NE000191")</f>
        <v>2024NE000191</v>
      </c>
      <c r="L278" s="13">
        <v>937500</v>
      </c>
      <c r="M278" t="s">
        <v>297</v>
      </c>
      <c r="N278">
        <v>7047251000170</v>
      </c>
    </row>
    <row r="279" spans="1:14" ht="51" x14ac:dyDescent="0.25">
      <c r="A279" s="12" t="s">
        <v>34</v>
      </c>
      <c r="B279" s="2" t="s">
        <v>454</v>
      </c>
      <c r="C279" s="3" t="str">
        <f>HYPERLINK("https://transparencia-area-fim.mpce.mp.br/#/consulta/processo/pastadigital/092021000219739","09.2021.00021973-9")</f>
        <v>09.2021.00021973-9</v>
      </c>
      <c r="D279" s="4">
        <v>45407</v>
      </c>
      <c r="E279" s="16" t="str">
        <f>HYPERLINK("https://www8.mpce.mp.br/Empenhos/150001/Objeto/45-2021.pdf","EMPENHO REF. TAXAS CONDOMINIAIS DE IMÓVEL ONDE FUNCIONA SEDE DE PROMOTORIAS DE JUSTIÇA DA COMARCA DO EUSÉBIO-CE, CONF. CONTRATO 045/2021, REF. MAI-JUN, POR ESTIMATIVA.")</f>
        <v>EMPENHO REF. TAXAS CONDOMINIAIS DE IMÓVEL ONDE FUNCIONA SEDE DE PROMOTORIAS DE JUSTIÇA DA COMARCA DO EUSÉBIO-CE, CONF. CONTRATO 045/2021, REF. MAI-JUN, POR ESTIMATIVA.</v>
      </c>
      <c r="F279" s="2" t="s">
        <v>231</v>
      </c>
      <c r="G279" s="5" t="str">
        <f>HYPERLINK("http://www8.mpce.mp.br/Empenhos/150501/NE/2024NE000399.pdf","2024NE000399")</f>
        <v>2024NE000399</v>
      </c>
      <c r="H279" s="6">
        <v>924.98</v>
      </c>
      <c r="I279" s="7" t="s">
        <v>144</v>
      </c>
      <c r="J279" s="10" t="s">
        <v>145</v>
      </c>
      <c r="K279" t="str">
        <f>HYPERLINK("http://www8.mpce.mp.br/Empenhos/150501/NE/2024NE000191.pdf","2024NE000191")</f>
        <v>2024NE000191</v>
      </c>
      <c r="L279" s="13">
        <v>5646.54</v>
      </c>
      <c r="M279" t="s">
        <v>193</v>
      </c>
      <c r="N279">
        <v>35165286215</v>
      </c>
    </row>
    <row r="280" spans="1:14" ht="51" x14ac:dyDescent="0.25">
      <c r="A280" s="12" t="s">
        <v>34</v>
      </c>
      <c r="B280" s="2" t="s">
        <v>455</v>
      </c>
      <c r="C280" s="3" t="str">
        <f>HYPERLINK("http://www8.mpce.mp.br/Dispensa/4503020176.pdf","45030/2017-6")</f>
        <v>45030/2017-6</v>
      </c>
      <c r="D280" s="4">
        <v>45407</v>
      </c>
      <c r="E280" s="16" t="str">
        <f>HYPERLINK("https://www8.mpce.mp.br/Empenhos/150001/Objeto/74-2019.pdf","EMPENHO REF. ALUGUEL DE IMÓVEL ONDE FUNCIONA A SEDE DAS PROMOTORIAS DE JUSTIÇA DA COMARCA DE GRANJA, CONF. CONTRATO 074/2019, REF. MAI-JUN, POR ESTIMATIVA.")</f>
        <v>EMPENHO REF. ALUGUEL DE IMÓVEL ONDE FUNCIONA A SEDE DAS PROMOTORIAS DE JUSTIÇA DA COMARCA DE GRANJA, CONF. CONTRATO 074/2019, REF. MAI-JUN, POR ESTIMATIVA.</v>
      </c>
      <c r="F280" s="2" t="s">
        <v>161</v>
      </c>
      <c r="G280" s="5" t="str">
        <f>HYPERLINK("http://www8.mpce.mp.br/Empenhos/150501/NE/2024NE000401.pdf","2024NE000401")</f>
        <v>2024NE000401</v>
      </c>
      <c r="H280" s="6">
        <v>4376.0200000000004</v>
      </c>
      <c r="I280" s="7" t="s">
        <v>236</v>
      </c>
      <c r="J280" s="10" t="s">
        <v>237</v>
      </c>
      <c r="K280" t="str">
        <f>HYPERLINK("http://www8.mpce.mp.br/Empenhos/150501/NE/2024NE000192.pdf","2024NE000192")</f>
        <v>2024NE000192</v>
      </c>
      <c r="L280" s="13">
        <v>9655.16</v>
      </c>
      <c r="M280" t="s">
        <v>205</v>
      </c>
      <c r="N280">
        <v>34123367852</v>
      </c>
    </row>
    <row r="281" spans="1:14" ht="51" x14ac:dyDescent="0.25">
      <c r="A281" s="12" t="s">
        <v>34</v>
      </c>
      <c r="B281" s="2" t="s">
        <v>456</v>
      </c>
      <c r="C281" s="3" t="str">
        <f>HYPERLINK("http://www8.mpce.mp.br/Dispensa/2887720171.pdf","28877/2017-1")</f>
        <v>28877/2017-1</v>
      </c>
      <c r="D281" s="4">
        <v>45408</v>
      </c>
      <c r="E281" s="16" t="str">
        <f>HYPERLINK("https://www8.mpce.mp.br/Empenhos/150001/Objeto/24-2019.pdf","ALUGUEL DO IMÓVEL ONDE FUNCIONA A SEDE DAS PROMOTORIAS DE JUSTIÇA DA COMARCA DE JAGUARIBE, CONF. CONTRATO 024/2019, REF. MAI E JUN/2024, POR ESTIMATIVA.")</f>
        <v>ALUGUEL DO IMÓVEL ONDE FUNCIONA A SEDE DAS PROMOTORIAS DE JUSTIÇA DA COMARCA DE JAGUARIBE, CONF. CONTRATO 024/2019, REF. MAI E JUN/2024, POR ESTIMATIVA.</v>
      </c>
      <c r="F281" s="2" t="s">
        <v>116</v>
      </c>
      <c r="G281" s="5" t="str">
        <f>HYPERLINK("http://www8.mpce.mp.br/Empenhos/150501/NE/2024NE000406.pdf","2024NE000406")</f>
        <v>2024NE000406</v>
      </c>
      <c r="H281" s="6">
        <v>2862.7</v>
      </c>
      <c r="I281" s="7" t="s">
        <v>140</v>
      </c>
      <c r="J281" s="10" t="s">
        <v>141</v>
      </c>
      <c r="K281" t="str">
        <f>HYPERLINK("http://www8.mpce.mp.br/Empenhos/150501/NE/2024NE000193.pdf","2024NE000193")</f>
        <v>2024NE000193</v>
      </c>
      <c r="L281" s="13">
        <v>4000</v>
      </c>
      <c r="M281" t="s">
        <v>229</v>
      </c>
      <c r="N281">
        <v>78214130387</v>
      </c>
    </row>
    <row r="282" spans="1:14" ht="51" x14ac:dyDescent="0.25">
      <c r="A282" s="12" t="s">
        <v>34</v>
      </c>
      <c r="B282" s="2" t="s">
        <v>457</v>
      </c>
      <c r="C282" s="3" t="str">
        <f>HYPERLINK("http://www8.mpce.mp.br/Dispensa/2004820193.pdf","20048/2019-3")</f>
        <v>20048/2019-3</v>
      </c>
      <c r="D282" s="4">
        <v>45408</v>
      </c>
      <c r="E282" s="16" t="str">
        <f>HYPERLINK("https://www8.mpce.mp.br/Empenhos/150001/Objeto/84-2019.pdf","ALUGUEL DE IMÓVEL ONDE FUNCIONA A SEDE DAS PROMOTORIAS DE JUSTIÇA DA COMARCA DE MOMBAÇA, CONF. CONTRATO 084/2019, REF. MAI E JUN/2024, POR ESTIMATIVA.")</f>
        <v>ALUGUEL DE IMÓVEL ONDE FUNCIONA A SEDE DAS PROMOTORIAS DE JUSTIÇA DA COMARCA DE MOMBAÇA, CONF. CONTRATO 084/2019, REF. MAI E JUN/2024, POR ESTIMATIVA.</v>
      </c>
      <c r="F282" s="2" t="s">
        <v>161</v>
      </c>
      <c r="G282" s="5" t="str">
        <f>HYPERLINK("http://www8.mpce.mp.br/Empenhos/150501/NE/2024NE000410.pdf","2024NE000410")</f>
        <v>2024NE000410</v>
      </c>
      <c r="H282" s="6">
        <v>8000</v>
      </c>
      <c r="I282" s="7" t="s">
        <v>162</v>
      </c>
      <c r="J282" s="10" t="s">
        <v>163</v>
      </c>
      <c r="K282" t="str">
        <f>HYPERLINK("http://www8.mpce.mp.br/Empenhos/150501/NE/2024NE000194.pdf","2024NE000194")</f>
        <v>2024NE000194</v>
      </c>
      <c r="L282" s="13">
        <v>7794.48</v>
      </c>
      <c r="M282" t="s">
        <v>188</v>
      </c>
      <c r="N282">
        <v>1728735335</v>
      </c>
    </row>
    <row r="283" spans="1:14" ht="38.25" x14ac:dyDescent="0.25">
      <c r="A283" s="12" t="s">
        <v>34</v>
      </c>
      <c r="B283" s="2" t="s">
        <v>465</v>
      </c>
      <c r="C283" s="3" t="str">
        <f>HYPERLINK("https://transparencia-area-fim.mpce.mp.br/#/consulta/processo/pastadigital/092021000244271","09.2021.00024427-1")</f>
        <v>09.2021.00024427-1</v>
      </c>
      <c r="D283" s="4">
        <v>45412</v>
      </c>
      <c r="E283" s="16" t="str">
        <f>HYPERLINK("https://www8.mpce.mp.br/Empenhos/150001/Objeto/17-2022.pdf","ALUGUEL DO IMÓVEL ONDE FUNCIONAM AS PROMOTORIAS DE JUSTIÇA DA COMARCA DE TIANGUÁ, CONF. CONTRATO Nº 017/2022/PGJ, REF. AOS MESES DE MAIO E JUNHO DE 2024.")</f>
        <v>ALUGUEL DO IMÓVEL ONDE FUNCIONAM AS PROMOTORIAS DE JUSTIÇA DA COMARCA DE TIANGUÁ, CONF. CONTRATO Nº 017/2022/PGJ, REF. AOS MESES DE MAIO E JUNHO DE 2024.</v>
      </c>
      <c r="F283" s="2" t="s">
        <v>116</v>
      </c>
      <c r="G283" s="5" t="str">
        <f>HYPERLINK("http://www8.mpce.mp.br/Empenhos/150501/NE/2024NE000418.pdf","2024NE000418")</f>
        <v>2024NE000418</v>
      </c>
      <c r="H283" s="6">
        <v>52000</v>
      </c>
      <c r="I283" s="7" t="s">
        <v>175</v>
      </c>
      <c r="J283" s="10" t="s">
        <v>176</v>
      </c>
      <c r="K283" t="str">
        <f>HYPERLINK("http://www8.mpce.mp.br/Empenhos/150501/NE/2024NE000195.pdf","2024NE000195")</f>
        <v>2024NE000195</v>
      </c>
      <c r="L283" s="13">
        <v>3100</v>
      </c>
      <c r="M283" t="s">
        <v>184</v>
      </c>
      <c r="N283">
        <v>84738480391</v>
      </c>
    </row>
    <row r="284" spans="1:14" ht="51" x14ac:dyDescent="0.25">
      <c r="A284" s="12" t="s">
        <v>34</v>
      </c>
      <c r="B284" s="2" t="s">
        <v>334</v>
      </c>
      <c r="C284" s="3" t="str">
        <f>HYPERLINK("https://transparencia-area-fim.mpce.mp.br/#/consulta/processo/pastadigital/092021000219739","09.2021.00021973-9")</f>
        <v>09.2021.00021973-9</v>
      </c>
      <c r="D284" s="4">
        <v>45412</v>
      </c>
      <c r="E284" s="16" t="str">
        <f>HYPERLINK("https://www8.mpce.mp.br/Empenhos/150001/Objeto/45-2021.pdf","EMPENHO REF ALUGUEL DO IMÓVEL ONDE FUNCIONA A SEDE DAS PROMOTORIAS DE JUSTIÇA DA COMARCA DE EUSÉBIO, CONF. CONTRATO 045/2021, REF. MAI E JUN/2024, POR ESTIMATIVA.")</f>
        <v>EMPENHO REF ALUGUEL DO IMÓVEL ONDE FUNCIONA A SEDE DAS PROMOTORIAS DE JUSTIÇA DA COMARCA DE EUSÉBIO, CONF. CONTRATO 045/2021, REF. MAI E JUN/2024, POR ESTIMATIVA.</v>
      </c>
      <c r="F284" s="2" t="s">
        <v>116</v>
      </c>
      <c r="G284" s="5" t="str">
        <f>HYPERLINK("http://www8.mpce.mp.br/Empenhos/150501/NE/2024NE000419.pdf","2024NE000419")</f>
        <v>2024NE000419</v>
      </c>
      <c r="H284" s="6">
        <v>3280.7</v>
      </c>
      <c r="I284" s="7" t="s">
        <v>144</v>
      </c>
      <c r="J284" s="10" t="s">
        <v>145</v>
      </c>
      <c r="K284" t="str">
        <f>HYPERLINK("http://www8.mpce.mp.br/Empenhos/150501/NE/2024NE000196.pdf","2024NE000196")</f>
        <v>2024NE000196</v>
      </c>
      <c r="L284" s="13">
        <v>4800</v>
      </c>
      <c r="M284" t="s">
        <v>209</v>
      </c>
      <c r="N284">
        <v>25876988391</v>
      </c>
    </row>
    <row r="285" spans="1:14" ht="38.25" x14ac:dyDescent="0.25">
      <c r="A285" s="12" t="s">
        <v>34</v>
      </c>
      <c r="B285" s="2" t="s">
        <v>340</v>
      </c>
      <c r="C285" s="3" t="str">
        <f>HYPERLINK("http://www8.mpce.mp.br/Dispensa/1984020196.pdf","19840/2019-6")</f>
        <v>19840/2019-6</v>
      </c>
      <c r="D285" s="4">
        <v>45412</v>
      </c>
      <c r="E285" s="16" t="str">
        <f>HYPERLINK("https://www8.mpce.mp.br/Empenhos/150001/Objeto/48-2019.pdf","EMPENHO REF. ALUGUEL DO IMÓVEL ONDE FUNCIONA A SEDE DAS PROMOTORIAS DE JUSTIÇA DE CAUCAIA, CONF. CONTRATO 048/2019, REF. MAI E JUN/2024, POR ESTIMATIVA.")</f>
        <v>EMPENHO REF. ALUGUEL DO IMÓVEL ONDE FUNCIONA A SEDE DAS PROMOTORIAS DE JUSTIÇA DE CAUCAIA, CONF. CONTRATO 048/2019, REF. MAI E JUN/2024, POR ESTIMATIVA.</v>
      </c>
      <c r="F285" s="2" t="s">
        <v>116</v>
      </c>
      <c r="G285" s="5" t="str">
        <f>HYPERLINK("http://www8.mpce.mp.br/Empenhos/150501/NE/2024NE000420.pdf","2024NE000420")</f>
        <v>2024NE000420</v>
      </c>
      <c r="H285" s="6">
        <v>91025.54</v>
      </c>
      <c r="I285" s="7" t="s">
        <v>151</v>
      </c>
      <c r="J285" s="10" t="s">
        <v>152</v>
      </c>
      <c r="K285" t="str">
        <f>HYPERLINK("http://www8.mpce.mp.br/Empenhos/150501/NE/2024NE000203.pdf","2024NE000203")</f>
        <v>2024NE000203</v>
      </c>
      <c r="L285" s="13">
        <v>3280.7</v>
      </c>
      <c r="M285" t="s">
        <v>144</v>
      </c>
      <c r="N285">
        <v>22588967000179</v>
      </c>
    </row>
    <row r="286" spans="1:14" ht="90" x14ac:dyDescent="0.25">
      <c r="A286" s="12" t="s">
        <v>34</v>
      </c>
      <c r="B286" s="2" t="s">
        <v>466</v>
      </c>
      <c r="C286" s="3" t="str">
        <f>HYPERLINK("http://www8.mpce.mp.br/Dispensa/2330020195.pdf","23300/2019-5")</f>
        <v>23300/2019-5</v>
      </c>
      <c r="D286" s="4">
        <v>45412</v>
      </c>
      <c r="E286" s="17" t="str">
        <f>HYPERLINK("https://www8.mpce.mp.br/Empenhos/150001/Objeto/61-2019.pdf","ALUGUEL DO IMÓVEL ONDE FUNCIONAM AS PROMOTORIAS DE JUSTIÇA DA COMARCA DE ACARAÚ EM CONSONÂNCIA AO CONTRATO 061/2019/PGJ, REF.AOS MESES DE"&amp;"  MAIO E JUNHO DE 2024.OBS: NO EMPENHO Nº 2024NE000284 (FLS. 3/4), O EMBASAMENTO LEGAL É O MESMO DESTE DOCUMENTO, QUAL SEJA: LEI Nº 8666/96, ART.24, X.")</f>
        <v>ALUGUEL DO IMÓVEL ONDE FUNCIONAM AS PROMOTORIAS DE JUSTIÇA DA COMARCA DE ACARAÚ EM CONSONÂNCIA AO CONTRATO 061/2019/PGJ, REF.AOS MESES DE  MAIO E JUNHO DE 2024.OBS: NO EMPENHO Nº 2024NE000284 (FLS. 3/4), O EMBASAMENTO LEGAL É O MESMO DESTE DOCUMENTO, QUAL SEJA: LEI Nº 8666/96, ART.24, X.</v>
      </c>
      <c r="F286" s="2" t="s">
        <v>161</v>
      </c>
      <c r="G286" s="5" t="str">
        <f>HYPERLINK("http://www8.mpce.mp.br/Empenhos/150501/NE/2024NE000422.pdf","2024NE000422")</f>
        <v>2024NE000422</v>
      </c>
      <c r="H286" s="6">
        <v>2800</v>
      </c>
      <c r="I286" s="7" t="s">
        <v>173</v>
      </c>
      <c r="J286" s="10" t="s">
        <v>174</v>
      </c>
      <c r="K286" t="str">
        <f>HYPERLINK("http://www8.mpce.mp.br/Empenhos/150501/NE/2024NE000204.pdf","2024NE000204")</f>
        <v>2024NE000204</v>
      </c>
      <c r="L286">
        <v>152.4</v>
      </c>
      <c r="M286" t="s">
        <v>158</v>
      </c>
      <c r="N286">
        <v>5569807000163</v>
      </c>
    </row>
    <row r="287" spans="1:14" ht="90" x14ac:dyDescent="0.25">
      <c r="A287" s="12" t="s">
        <v>34</v>
      </c>
      <c r="B287" s="2" t="s">
        <v>467</v>
      </c>
      <c r="C287" s="3" t="str">
        <f>HYPERLINK("http://www8.mpce.mp.br/Dispensa/4793720162.pdf","4793720162")</f>
        <v>4793720162</v>
      </c>
      <c r="D287" s="4">
        <v>45412</v>
      </c>
      <c r="E287" s="17" t="str">
        <f>HYPERLINK("https://www8.mpce.mp.br/Empenhos/150001/Objeto/14-2017.pdf","ALUGUEL DO IMÓVEL ONDE FUNCIONA O ALMOXARIFADO E PATRIMÔNIO, CONF.CONTRATO Nº 014/2017/PGJ, REF. AOS MESES DE MAIO E JUNHO DE 2024.OBS:"&amp;" NO EMPENHO Nº 2024NE000232 (FLS Nº 3/4), O EMBASAMENTO LEGAL É O MESMO DESTE DOCUMENTO, QUAL SEJA LEI Nº 8666/93, ART.24, X.")</f>
        <v>ALUGUEL DO IMÓVEL ONDE FUNCIONA O ALMOXARIFADO E PATRIMÔNIO, CONF.CONTRATO Nº 014/2017/PGJ, REF. AOS MESES DE MAIO E JUNHO DE 2024.OBS: NO EMPENHO Nº 2024NE000232 (FLS Nº 3/4), O EMBASAMENTO LEGAL É O MESMO DESTE DOCUMENTO, QUAL SEJA LEI Nº 8666/93, ART.24, X.</v>
      </c>
      <c r="F287" s="2" t="s">
        <v>116</v>
      </c>
      <c r="G287" s="5" t="str">
        <f>HYPERLINK("http://www8.mpce.mp.br/Empenhos/150501/NE/2024NE000423.pdf","2024NE000423")</f>
        <v>2024NE000423</v>
      </c>
      <c r="H287" s="6">
        <v>44286.96</v>
      </c>
      <c r="I287" s="7" t="s">
        <v>153</v>
      </c>
      <c r="J287" s="10" t="s">
        <v>154</v>
      </c>
      <c r="K287" t="str">
        <f>HYPERLINK("http://www8.mpce.mp.br/Empenhos/150501/NE/2024NE000205.pdf","2024NE000205")</f>
        <v>2024NE000205</v>
      </c>
      <c r="L287" s="13">
        <v>2619.0100000000002</v>
      </c>
      <c r="M287" t="s">
        <v>158</v>
      </c>
      <c r="N287">
        <v>5569807000163</v>
      </c>
    </row>
    <row r="288" spans="1:14" ht="76.5" x14ac:dyDescent="0.25">
      <c r="A288" s="12" t="s">
        <v>34</v>
      </c>
      <c r="B288" s="2" t="s">
        <v>468</v>
      </c>
      <c r="C288" s="3" t="str">
        <f>HYPERLINK("https://transparencia-area-fim.mpce.mp.br/#/consulta/processo/pastadigital/092024000083927","09.2024.00008392-7")</f>
        <v>09.2024.00008392-7</v>
      </c>
      <c r="D288" s="4">
        <v>45412</v>
      </c>
      <c r="E288" s="16" t="s">
        <v>469</v>
      </c>
      <c r="F288" s="2" t="s">
        <v>116</v>
      </c>
      <c r="G288" s="5" t="str">
        <f>HYPERLINK("http://www8.mpce.mp.br/Empenhos/150501/NE/2024NE000424.pdf","2024NE000424")</f>
        <v>2024NE000424</v>
      </c>
      <c r="H288" s="6">
        <v>117821.94</v>
      </c>
      <c r="I288" s="7" t="s">
        <v>470</v>
      </c>
      <c r="J288" s="10" t="s">
        <v>844</v>
      </c>
      <c r="K288" t="str">
        <f>HYPERLINK("http://www8.mpce.mp.br/Empenhos/150501/NE/2024NE000207.pdf","2024NE000207")</f>
        <v>2024NE000207</v>
      </c>
      <c r="L288" s="13">
        <v>1508.04</v>
      </c>
      <c r="M288" t="s">
        <v>153</v>
      </c>
      <c r="N288">
        <v>10508750000122</v>
      </c>
    </row>
    <row r="289" spans="1:14" ht="90" x14ac:dyDescent="0.25">
      <c r="A289" s="12" t="s">
        <v>34</v>
      </c>
      <c r="B289" s="2" t="s">
        <v>471</v>
      </c>
      <c r="C289" s="3" t="str">
        <f>HYPERLINK("http://www8.mpce.mp.br/Dispensa/842220170.pdf","8422/20170")</f>
        <v>8422/20170</v>
      </c>
      <c r="D289" s="4">
        <v>45412</v>
      </c>
      <c r="E289" s="17" t="str">
        <f>HYPERLINK("https://www8.mpce.mp.br/Empenhos/150001/Objeto/16-2017.pdf","ALUGUEL DO IMÓVEL ONDE FUNCIONAM AS PROMOTORIAS DE JUSTIÇA CRIMINAIS DE FORTALEZA, EM CONSONÂNCIA COM O CONTRATO Nº 016/2017/PGJ, REF. AOS MESES DE MAIO E JUNHO DE 2024.OBS:"&amp;" NO EMPENHO Nº 2024NE000233 (FLS Nº 3/4), O EMBASAMENTO LEGAL É O MESMO DESTE DOCUMENTO, QUAL SEJA: LEI Nº 8666/93, ART.24,X.")</f>
        <v>ALUGUEL DO IMÓVEL ONDE FUNCIONAM AS PROMOTORIAS DE JUSTIÇA CRIMINAIS DE FORTALEZA, EM CONSONÂNCIA COM O CONTRATO Nº 016/2017/PGJ, REF. AOS MESES DE MAIO E JUNHO DE 2024.OBS: NO EMPENHO Nº 2024NE000233 (FLS Nº 3/4), O EMBASAMENTO LEGAL É O MESMO DESTE DOCUMENTO, QUAL SEJA: LEI Nº 8666/93, ART.24,X.</v>
      </c>
      <c r="F289" s="2" t="s">
        <v>116</v>
      </c>
      <c r="G289" s="5" t="str">
        <f>HYPERLINK("http://www8.mpce.mp.br/Empenhos/150501/NE/2024NE000428.pdf","2024NE000428")</f>
        <v>2024NE000428</v>
      </c>
      <c r="H289" s="6">
        <v>117821.94</v>
      </c>
      <c r="I289" s="7" t="s">
        <v>158</v>
      </c>
      <c r="J289" s="10" t="s">
        <v>159</v>
      </c>
      <c r="K289" t="str">
        <f>HYPERLINK("http://www8.mpce.mp.br/Empenhos/150501/NE/2024NE000208.pdf","2024NE000208")</f>
        <v>2024NE000208</v>
      </c>
      <c r="L289" s="13">
        <v>6257.88</v>
      </c>
      <c r="M289" t="s">
        <v>153</v>
      </c>
      <c r="N289">
        <v>10508750000122</v>
      </c>
    </row>
    <row r="290" spans="1:14" ht="90" x14ac:dyDescent="0.25">
      <c r="A290" s="12" t="s">
        <v>34</v>
      </c>
      <c r="B290" s="2" t="s">
        <v>472</v>
      </c>
      <c r="C290" s="3" t="str">
        <f>HYPERLINK("https://transparencia-area-fim.mpce.mp.br/#/consulta/processo/pastadigital/092021000121226","09.2021.00012122-6")</f>
        <v>09.2021.00012122-6</v>
      </c>
      <c r="D290" s="4">
        <v>45412</v>
      </c>
      <c r="E290" s="17" t="str">
        <f>HYPERLINK("https://www8.mpce.mp.br/Empenhos/150001/Objeto/34-2021.pdf","ALUGUEL DO IMÓVEL ONDE FUNCIONAM AS PROMOTORIAS DE JUSTIÇA DA COMARCA DE SÃO BENEDITO, EM ALUSÃO AO CONTRATO Nº 034/2021/PGJ, REF. AOS MESES DE MAIO E JUNHO DE 2024.OBS:"&amp;" NO EMPENHO Nº 2024NE000286 (FLS Nº3/4), O EMBASAMENTO LEGAL É MESMO DESTE DOCUMENTO, QUAL SEJA: LEI Nº 8666/93, ART.24, X.")</f>
        <v>ALUGUEL DO IMÓVEL ONDE FUNCIONAM AS PROMOTORIAS DE JUSTIÇA DA COMARCA DE SÃO BENEDITO, EM ALUSÃO AO CONTRATO Nº 034/2021/PGJ, REF. AOS MESES DE MAIO E JUNHO DE 2024.OBS: NO EMPENHO Nº 2024NE000286 (FLS Nº3/4), O EMBASAMENTO LEGAL É MESMO DESTE DOCUMENTO, QUAL SEJA: LEI Nº 8666/93, ART.24, X.</v>
      </c>
      <c r="F290" s="2" t="s">
        <v>161</v>
      </c>
      <c r="G290" s="5" t="str">
        <f>HYPERLINK("http://www8.mpce.mp.br/Empenhos/150501/NE/2024NE000429.pdf","2024NE000429")</f>
        <v>2024NE000429</v>
      </c>
      <c r="H290" s="6">
        <v>5646.54</v>
      </c>
      <c r="I290" s="7" t="s">
        <v>193</v>
      </c>
      <c r="J290" s="10" t="s">
        <v>194</v>
      </c>
      <c r="K290" t="str">
        <f>HYPERLINK("http://www8.mpce.mp.br/Empenhos/150501/NE/2024NE000212.pdf","2024NE000212")</f>
        <v>2024NE000212</v>
      </c>
      <c r="L290" s="13">
        <v>11092.2</v>
      </c>
      <c r="M290" t="s">
        <v>144</v>
      </c>
      <c r="N290">
        <v>22588967000179</v>
      </c>
    </row>
    <row r="291" spans="1:14" ht="51" x14ac:dyDescent="0.25">
      <c r="A291" s="12" t="s">
        <v>34</v>
      </c>
      <c r="B291" s="2" t="s">
        <v>449</v>
      </c>
      <c r="C291" s="3" t="str">
        <f>HYPERLINK("http://www8.mpce.mp.br/Dispensa/2826420164.pdf","28264/2016-4")</f>
        <v>28264/2016-4</v>
      </c>
      <c r="D291" s="4">
        <v>45412</v>
      </c>
      <c r="E291" s="16" t="str">
        <f>HYPERLINK("https://www8.mpce.mp.br/Empenhos/150001/Objeto/26-2016.pdf","EMPENHO REF. REEMBOLSO DE IPTU DO IMÓVEL SITUADO NA AV. ANTONIO SALES, 1740 - DIONÍSIO TORRES, ONDE FUNCIONAM AS SEDES DOS CENTROS DE APOIO E INVESTIGAÇÃO, REF. 2024 - 4ª PARCELA (ABR/2024).")</f>
        <v>EMPENHO REF. REEMBOLSO DE IPTU DO IMÓVEL SITUADO NA AV. ANTONIO SALES, 1740 - DIONÍSIO TORRES, ONDE FUNCIONAM AS SEDES DOS CENTROS DE APOIO E INVESTIGAÇÃO, REF. 2024 - 4ª PARCELA (ABR/2024).</v>
      </c>
      <c r="F291" s="2" t="s">
        <v>252</v>
      </c>
      <c r="G291" s="5" t="str">
        <f>HYPERLINK("http://www8.mpce.mp.br/Empenhos/150501/NE/2024NE000430.pdf","2024NE000430")</f>
        <v>2024NE000430</v>
      </c>
      <c r="H291" s="6">
        <v>447.85</v>
      </c>
      <c r="I291" s="7" t="s">
        <v>142</v>
      </c>
      <c r="J291" s="10" t="s">
        <v>143</v>
      </c>
      <c r="K291" t="str">
        <f>HYPERLINK("http://www8.mpce.mp.br/Empenhos/150501/NE/2024NE000213.pdf","2024NE000213")</f>
        <v>2024NE000213</v>
      </c>
      <c r="L291" s="13">
        <v>720350</v>
      </c>
      <c r="M291" t="s">
        <v>244</v>
      </c>
      <c r="N291">
        <v>3773788000167</v>
      </c>
    </row>
    <row r="292" spans="1:14" ht="90" x14ac:dyDescent="0.25">
      <c r="A292" s="12" t="s">
        <v>34</v>
      </c>
      <c r="B292" s="2" t="s">
        <v>473</v>
      </c>
      <c r="C292" s="3" t="str">
        <f>HYPERLINK("http://www8.mpce.mp.br/Dispensa/2150720189.pdf","21507/2018-9")</f>
        <v>21507/2018-9</v>
      </c>
      <c r="D292" s="4">
        <v>45412</v>
      </c>
      <c r="E292" s="17" t="str">
        <f>HYPERLINK("https://www8.mpce.mp.br/Empenhos/150001/Objeto/51-2019.pdf","ALUGUEL DO IMÓVEL ONDE FUNCIONAM AS PROMOTORIAS DE JUSTIÇA DA COMARCA DE VIÇOSA DO CEARÁ, CONF. CONTRATO Nº 051/2019/PGJ, REF. AOS MESES DE MAIO E JUNHO DE 2024.OBS:"&amp;" NO EMPENHO Nº 2024NE000282 (FLS.7/8), O EMBASAMENTO LEGAL É O MESMO DESTE DOCUMENTO, QUAL SEJA: LEI Nº 8666/93, ART 24,X.")</f>
        <v>ALUGUEL DO IMÓVEL ONDE FUNCIONAM AS PROMOTORIAS DE JUSTIÇA DA COMARCA DE VIÇOSA DO CEARÁ, CONF. CONTRATO Nº 051/2019/PGJ, REF. AOS MESES DE MAIO E JUNHO DE 2024.OBS: NO EMPENHO Nº 2024NE000282 (FLS.7/8), O EMBASAMENTO LEGAL É O MESMO DESTE DOCUMENTO, QUAL SEJA: LEI Nº 8666/93, ART 24,X.</v>
      </c>
      <c r="F292" s="2" t="s">
        <v>161</v>
      </c>
      <c r="G292" s="5" t="str">
        <f>HYPERLINK("http://www8.mpce.mp.br/Empenhos/150501/NE/2024NE000431.pdf","2024NE000431")</f>
        <v>2024NE000431</v>
      </c>
      <c r="H292" s="6">
        <v>5871.42</v>
      </c>
      <c r="I292" s="7" t="s">
        <v>179</v>
      </c>
      <c r="J292" s="10" t="s">
        <v>180</v>
      </c>
      <c r="K292" t="str">
        <f>HYPERLINK("http://www8.mpce.mp.br/Empenhos/150501/NE/2024NE000217.pdf","2024NE000217")</f>
        <v>2024NE000217</v>
      </c>
      <c r="L292" s="13">
        <v>3909.78</v>
      </c>
      <c r="M292" t="s">
        <v>153</v>
      </c>
      <c r="N292">
        <v>10508750000122</v>
      </c>
    </row>
    <row r="293" spans="1:14" ht="51" x14ac:dyDescent="0.25">
      <c r="A293" s="12" t="s">
        <v>34</v>
      </c>
      <c r="B293" s="2" t="s">
        <v>474</v>
      </c>
      <c r="C293" s="3" t="str">
        <f>HYPERLINK("https://transparencia-area-fim.mpce.mp.br/#/consulta/processo/pastadigital/092022000343795","09.2022.00034379-5")</f>
        <v>09.2022.00034379-5</v>
      </c>
      <c r="D293" s="4">
        <v>45412</v>
      </c>
      <c r="E293" s="16" t="str">
        <f>HYPERLINK("https://www8.mpce.mp.br/Empenhos/150001/Objeto/25-2023.pdf","ALUGUEL DO IMÓVEL ONDE FUNCIONA A SEDE DAS PROMOTORIAS DE JUSTIÇA DA COMARCA DE CANINDÉ, CONF. CONTRATO 025/2023, REF. MAIO E JUNHO/2024, POR ESTIMATIVA.")</f>
        <v>ALUGUEL DO IMÓVEL ONDE FUNCIONA A SEDE DAS PROMOTORIAS DE JUSTIÇA DA COMARCA DE CANINDÉ, CONF. CONTRATO 025/2023, REF. MAIO E JUNHO/2024, POR ESTIMATIVA.</v>
      </c>
      <c r="F293" s="2" t="s">
        <v>116</v>
      </c>
      <c r="G293" s="5" t="str">
        <f>HYPERLINK("http://www8.mpce.mp.br/Empenhos/150501/NE/2024NE000432.pdf","2024NE000432")</f>
        <v>2024NE000432</v>
      </c>
      <c r="H293" s="6">
        <v>28000</v>
      </c>
      <c r="I293" s="7" t="s">
        <v>234</v>
      </c>
      <c r="J293" s="10" t="s">
        <v>235</v>
      </c>
      <c r="K293" t="str">
        <f>HYPERLINK("http://www8.mpce.mp.br/Empenhos/150501/NE/2024NE000218.pdf","2024NE000218")</f>
        <v>2024NE000218</v>
      </c>
      <c r="L293" s="13">
        <v>8780</v>
      </c>
      <c r="M293" t="s">
        <v>315</v>
      </c>
      <c r="N293">
        <v>48000949000118</v>
      </c>
    </row>
    <row r="294" spans="1:14" ht="51" x14ac:dyDescent="0.25">
      <c r="A294" s="12" t="s">
        <v>34</v>
      </c>
      <c r="B294" s="2" t="s">
        <v>475</v>
      </c>
      <c r="C294" s="3" t="str">
        <f>HYPERLINK("https://transparencia-area-fim.mpce.mp.br/#/consulta/processo/pastadigital/092021000063220","09.2021.00006322-0")</f>
        <v>09.2021.00006322-0</v>
      </c>
      <c r="D294" s="4">
        <v>45412</v>
      </c>
      <c r="E294" s="16" t="str">
        <f>HYPERLINK("https://www8.mpce.mp.br/Empenhos/150001/Objeto/33-2021.pdf","ALUGUEL DO IMÓVEL ONDE FUNCIONML AS PROMOTORIAS DE JUSTIÇA DA COMARCA DE SOBRAL, EM CONSONÂNCIA COM O CONTRATO Nº 033/2021/PGJ, REF. AOS MESES DE MAIO E JUNHO DE 2024, POR ESTIMATIVA.")</f>
        <v>ALUGUEL DO IMÓVEL ONDE FUNCIONML AS PROMOTORIAS DE JUSTIÇA DA COMARCA DE SOBRAL, EM CONSONÂNCIA COM O CONTRATO Nº 033/2021/PGJ, REF. AOS MESES DE MAIO E JUNHO DE 2024, POR ESTIMATIVA.</v>
      </c>
      <c r="F294" s="2" t="s">
        <v>116</v>
      </c>
      <c r="G294" s="5" t="str">
        <f>HYPERLINK("http://www8.mpce.mp.br/Empenhos/150501/NE/2024NE000433.pdf","2024NE000433")</f>
        <v>2024NE000433</v>
      </c>
      <c r="H294" s="6">
        <v>66800.22</v>
      </c>
      <c r="I294" s="7" t="s">
        <v>134</v>
      </c>
      <c r="J294" s="10" t="s">
        <v>135</v>
      </c>
      <c r="K294" t="str">
        <f>HYPERLINK("http://www8.mpce.mp.br/Empenhos/150501/NE/2024NE000219.pdf","2024NE000219")</f>
        <v>2024NE000219</v>
      </c>
      <c r="L294" s="13">
        <v>28000</v>
      </c>
      <c r="M294" t="s">
        <v>234</v>
      </c>
      <c r="N294">
        <v>29417319000107</v>
      </c>
    </row>
    <row r="295" spans="1:14" ht="51" x14ac:dyDescent="0.25">
      <c r="A295" s="12" t="s">
        <v>34</v>
      </c>
      <c r="B295" s="2" t="s">
        <v>476</v>
      </c>
      <c r="C295" s="3" t="str">
        <f>HYPERLINK("https://transparencia-area-fim.mpce.mp.br/#/consulta/processo/pastadigital/092022000276145","09.2022.00027614-5")</f>
        <v>09.2022.00027614-5</v>
      </c>
      <c r="D295" s="4">
        <v>45412</v>
      </c>
      <c r="E295" s="16" t="str">
        <f>HYPERLINK("https://www8.mpce.mp.br/Empenhos/150001/Objeto/36-2022.pdf","ALUGUEL DO IMÓVEL ONDE FUNCIONAM AS PROMOTORIAS DE JUSTIÇA DA COMARCA DE ARARIPE, EM CONFORMIDADE AO CONTRATO Nº 036/2022/PGJ, REF. MESES DE MAIO E JUNHO DE 2024, POR ESTIMATIVA.")</f>
        <v>ALUGUEL DO IMÓVEL ONDE FUNCIONAM AS PROMOTORIAS DE JUSTIÇA DA COMARCA DE ARARIPE, EM CONFORMIDADE AO CONTRATO Nº 036/2022/PGJ, REF. MESES DE MAIO E JUNHO DE 2024, POR ESTIMATIVA.</v>
      </c>
      <c r="F295" s="2" t="s">
        <v>161</v>
      </c>
      <c r="G295" s="5" t="str">
        <f>HYPERLINK("http://www8.mpce.mp.br/Empenhos/150501/NE/2024NE000434.pdf","2024NE000434")</f>
        <v>2024NE000434</v>
      </c>
      <c r="H295" s="6">
        <v>3000</v>
      </c>
      <c r="I295" s="7" t="s">
        <v>191</v>
      </c>
      <c r="J295" s="10" t="s">
        <v>192</v>
      </c>
      <c r="K295" t="str">
        <f>HYPERLINK("http://www8.mpce.mp.br/Empenhos/150501/NE/2024NE000220.pdf","2024NE000220")</f>
        <v>2024NE000220</v>
      </c>
      <c r="L295">
        <v>599.85</v>
      </c>
      <c r="M295" t="s">
        <v>156</v>
      </c>
      <c r="N295">
        <v>33457311000133</v>
      </c>
    </row>
    <row r="296" spans="1:14" ht="51" x14ac:dyDescent="0.25">
      <c r="A296" s="12" t="s">
        <v>34</v>
      </c>
      <c r="B296" s="2" t="s">
        <v>477</v>
      </c>
      <c r="C296" s="3" t="str">
        <f>HYPERLINK("https://transparencia-area-fim.mpce.mp.br/#/consulta/processo/pastadigital/092022000343818","09.2022.00034381-8")</f>
        <v>09.2022.00034381-8</v>
      </c>
      <c r="D296" s="4">
        <v>45412</v>
      </c>
      <c r="E296" s="16" t="str">
        <f>HYPERLINK("https://www8.mpce.mp.br/Empenhos/150001/Objeto/24-2023.pdf","ALUGUEL DO IMÓVEL ONDE FUNCIONAM AS PROMOTORIAS DE JUSTIÇA DA COMARCA DE ITAPIPOCA, RELATIVO AO CONTRATO Nº 024/2023/PGJ, REF.  MESES DE MAIO E JUNHO DE 2024, POR ESTIMATIVA.")</f>
        <v>ALUGUEL DO IMÓVEL ONDE FUNCIONAM AS PROMOTORIAS DE JUSTIÇA DA COMARCA DE ITAPIPOCA, RELATIVO AO CONTRATO Nº 024/2023/PGJ, REF.  MESES DE MAIO E JUNHO DE 2024, POR ESTIMATIVA.</v>
      </c>
      <c r="F296" s="2" t="s">
        <v>116</v>
      </c>
      <c r="G296" s="5" t="str">
        <f>HYPERLINK("http://www8.mpce.mp.br/Empenhos/150501/NE/2024NE000435.pdf","2024NE000435")</f>
        <v>2024NE000435</v>
      </c>
      <c r="H296" s="6">
        <v>36000</v>
      </c>
      <c r="I296" s="7" t="s">
        <v>240</v>
      </c>
      <c r="J296" s="10" t="s">
        <v>241</v>
      </c>
      <c r="K296" t="str">
        <f>HYPERLINK("http://www8.mpce.mp.br/Empenhos/150501/NE/2024NE000221.pdf","2024NE000221")</f>
        <v>2024NE000221</v>
      </c>
      <c r="L296" s="13">
        <v>3206</v>
      </c>
      <c r="M296" t="s">
        <v>319</v>
      </c>
      <c r="N296">
        <v>48441477000139</v>
      </c>
    </row>
    <row r="297" spans="1:14" ht="51" x14ac:dyDescent="0.25">
      <c r="A297" s="12" t="s">
        <v>34</v>
      </c>
      <c r="B297" s="2" t="s">
        <v>478</v>
      </c>
      <c r="C297" s="3" t="str">
        <f>HYPERLINK("https://transparencia-area-fim.mpce.mp.br/#/consulta/processo/pastadigital/092022000264193","09.2022.00026419-3")</f>
        <v>09.2022.00026419-3</v>
      </c>
      <c r="D297" s="4">
        <v>45412</v>
      </c>
      <c r="E297" s="16" t="str">
        <f>HYPERLINK("https://www8.mpce.mp.br/Empenhos/150001/Objeto/28-2022.pdf","ALUGUEL DO IMÓVEL ONDE FUNCIONAM AS PROMOTORIAS DE JUSTIÇA DA COMARCA DE AURORA, EM CONFORMIDADE AO CONTRATO Nº 028/2022/PGJ, REF AOS MESES DE MAIO E JUNHO DE 2024, POR ESTIMATIVA.")</f>
        <v>ALUGUEL DO IMÓVEL ONDE FUNCIONAM AS PROMOTORIAS DE JUSTIÇA DA COMARCA DE AURORA, EM CONFORMIDADE AO CONTRATO Nº 028/2022/PGJ, REF AOS MESES DE MAIO E JUNHO DE 2024, POR ESTIMATIVA.</v>
      </c>
      <c r="F297" s="2" t="s">
        <v>161</v>
      </c>
      <c r="G297" s="5" t="str">
        <f>HYPERLINK("http://www8.mpce.mp.br/Empenhos/150501/NE/2024NE000436.pdf","2024NE000436")</f>
        <v>2024NE000436</v>
      </c>
      <c r="H297" s="6">
        <v>4000</v>
      </c>
      <c r="I297" s="7" t="s">
        <v>201</v>
      </c>
      <c r="J297" s="10" t="s">
        <v>202</v>
      </c>
      <c r="K297" t="str">
        <f>HYPERLINK("http://www8.mpce.mp.br/Empenhos/150501/NE/2024NE000222.pdf","2024NE000222")</f>
        <v>2024NE000222</v>
      </c>
      <c r="L297" s="13">
        <v>1280</v>
      </c>
      <c r="M297" t="s">
        <v>321</v>
      </c>
      <c r="N297">
        <v>5077676000105</v>
      </c>
    </row>
    <row r="298" spans="1:14" ht="56.25" x14ac:dyDescent="0.25">
      <c r="A298" s="12" t="s">
        <v>34</v>
      </c>
      <c r="B298" s="2" t="s">
        <v>448</v>
      </c>
      <c r="C298" s="3" t="str">
        <f>HYPERLINK("https://transparencia-area-fim.mpce.mp.br/#/consulta/processo/pastadigital/092023000287468","09.2023.00028746-8")</f>
        <v>09.2023.00028746-8</v>
      </c>
      <c r="D298" s="4">
        <v>45412</v>
      </c>
      <c r="E298" s="16" t="str">
        <f>HYPERLINK("https://www8.mpce.mp.br/Empenhos/150001/Objeto/58-2023.pdf","EMPENHO REF. SERVIÇOS DE SUPORTE TÉCNICO DE SISTEMA, CONF. CONTRATO 058/2023 E PROJETO 052/2023/FRMMP, REF. 2024, POR ESTIMATIVA. ")</f>
        <v xml:space="preserve">EMPENHO REF. SERVIÇOS DE SUPORTE TÉCNICO DE SISTEMA, CONF. CONTRATO 058/2023 E PROJETO 052/2023/FRMMP, REF. 2024, POR ESTIMATIVA. </v>
      </c>
      <c r="F298" s="2" t="s">
        <v>250</v>
      </c>
      <c r="G298" s="5" t="str">
        <f>HYPERLINK("http://www8.mpce.mp.br/Empenhos/150501/NE/2024NE000438.pdf","2024NE000438")</f>
        <v>2024NE000438</v>
      </c>
      <c r="H298" s="6">
        <v>268327.5</v>
      </c>
      <c r="I298" s="7" t="s">
        <v>244</v>
      </c>
      <c r="J298" s="10" t="s">
        <v>245</v>
      </c>
      <c r="K298" t="str">
        <f>HYPERLINK("http://www8.mpce.mp.br/Empenhos/150001/NE/2024NE000225.pdf","2024NE000225")</f>
        <v>2024NE000225</v>
      </c>
      <c r="L298" s="13">
        <v>18000</v>
      </c>
      <c r="M298" t="s">
        <v>297</v>
      </c>
      <c r="N298">
        <v>7047251000170</v>
      </c>
    </row>
    <row r="299" spans="1:14" ht="51" x14ac:dyDescent="0.25">
      <c r="A299" s="12" t="s">
        <v>34</v>
      </c>
      <c r="B299" s="2" t="s">
        <v>334</v>
      </c>
      <c r="C299" s="3" t="str">
        <f>HYPERLINK("http://www8.mpce.mp.br/Dispensa/1955220197.pdf","19552/2019-7")</f>
        <v>19552/2019-7</v>
      </c>
      <c r="D299" s="4">
        <v>45414</v>
      </c>
      <c r="E299" s="16" t="str">
        <f>HYPERLINK("https://www8.mpce.mp.br/Empenhos/150001/Objeto/85-2019.pdf","EMPENHO REF. ALUGUEL DO IMÓVEL ONDE FUNCIONA A SEDE DAS PROMOTORIAS DE JUSTIÇA DA COMARCA DE PARAIPABA, CONF. CONTRATO 085/2019, REF. MAI E JUN/2024, POR ESTIMATIVA.")</f>
        <v>EMPENHO REF. ALUGUEL DO IMÓVEL ONDE FUNCIONA A SEDE DAS PROMOTORIAS DE JUSTIÇA DA COMARCA DE PARAIPABA, CONF. CONTRATO 085/2019, REF. MAI E JUN/2024, POR ESTIMATIVA.</v>
      </c>
      <c r="F299" s="2" t="s">
        <v>161</v>
      </c>
      <c r="G299" s="5" t="str">
        <f>HYPERLINK("http://www8.mpce.mp.br/Empenhos/150501/NE/2024NE000440.pdf","2024NE000440")</f>
        <v>2024NE000440</v>
      </c>
      <c r="H299" s="6">
        <v>2613.4</v>
      </c>
      <c r="I299" s="7" t="s">
        <v>186</v>
      </c>
      <c r="J299" s="10" t="s">
        <v>187</v>
      </c>
      <c r="K299" t="str">
        <f>HYPERLINK("http://www8.mpce.mp.br/Empenhos/150501/NE/2024NE000228.pdf","2024NE000228")</f>
        <v>2024NE000228</v>
      </c>
      <c r="L299" s="13">
        <v>2619.0100000000002</v>
      </c>
      <c r="M299" t="s">
        <v>158</v>
      </c>
      <c r="N299">
        <v>5569807000163</v>
      </c>
    </row>
    <row r="300" spans="1:14" ht="51" x14ac:dyDescent="0.25">
      <c r="A300" s="12" t="s">
        <v>34</v>
      </c>
      <c r="B300" s="2" t="s">
        <v>479</v>
      </c>
      <c r="C300" s="3" t="str">
        <f>HYPERLINK("https://transparencia-area-fim.mpce.mp.br/#/consulta/processo/pastadigital/092022000081432","09.2022.00008143-2")</f>
        <v>09.2022.00008143-2</v>
      </c>
      <c r="D300" s="4">
        <v>45414</v>
      </c>
      <c r="E300" s="16" t="str">
        <f>HYPERLINK("https://www8.mpce.mp.br/Empenhos/150001/Objeto/16-2022.pdf","ALUGUEL DO IMÓVEL L ONDE FUNCIONAM AS PROMOTORIAS DE JUSTIÇA DA COMARCA DE BARBALHA, RELATIVO AO CONTRATO Nº 016/2022/PGJ, REF. AOS MESES MAIO E JUNHO DE2024.")</f>
        <v>ALUGUEL DO IMÓVEL L ONDE FUNCIONAM AS PROMOTORIAS DE JUSTIÇA DA COMARCA DE BARBALHA, RELATIVO AO CONTRATO Nº 016/2022/PGJ, REF. AOS MESES MAIO E JUNHO DE2024.</v>
      </c>
      <c r="F300" s="2" t="s">
        <v>116</v>
      </c>
      <c r="G300" s="5" t="str">
        <f>HYPERLINK("http://www8.mpce.mp.br/Empenhos/150501/NE/2024NE000443.pdf","2024NE000443")</f>
        <v>2024NE000443</v>
      </c>
      <c r="H300" s="6">
        <v>32868.519999999997</v>
      </c>
      <c r="I300" s="7" t="s">
        <v>132</v>
      </c>
      <c r="J300" s="10" t="s">
        <v>133</v>
      </c>
      <c r="K300" t="str">
        <f>HYPERLINK("http://www8.mpce.mp.br/Empenhos/150501/NE/2024NE000229.pdf","2024NE000229")</f>
        <v>2024NE000229</v>
      </c>
      <c r="L300">
        <v>152.32</v>
      </c>
      <c r="M300" t="s">
        <v>158</v>
      </c>
      <c r="N300">
        <v>5569807000163</v>
      </c>
    </row>
    <row r="301" spans="1:14" ht="51" x14ac:dyDescent="0.25">
      <c r="A301" s="12" t="s">
        <v>34</v>
      </c>
      <c r="B301" s="2" t="s">
        <v>334</v>
      </c>
      <c r="C301" s="3" t="str">
        <f>HYPERLINK("https://transparencia-area-fim.mpce.mp.br/#/consulta/processo/pastadigital/092021000155016","09.2021.00015501-6")</f>
        <v>09.2021.00015501-6</v>
      </c>
      <c r="D301" s="4">
        <v>45414</v>
      </c>
      <c r="E301" s="16" t="str">
        <f>HYPERLINK("https://www8.mpce.mp.br/Empenhos/150001/Objeto/26-2021.pdf","EMPENHO REF. ALUGUEL DO IMÓVEL ONDE FUNCIONA A SEDE DAS PROMOTORIAS DE JUSTIÇA DA COMARCA DE BREJO SANTO, CONF. CONTRATO 026/2021, REF. MAI E JUN/2024, POR ESTIMATIVA.")</f>
        <v>EMPENHO REF. ALUGUEL DO IMÓVEL ONDE FUNCIONA A SEDE DAS PROMOTORIAS DE JUSTIÇA DA COMARCA DE BREJO SANTO, CONF. CONTRATO 026/2021, REF. MAI E JUN/2024, POR ESTIMATIVA.</v>
      </c>
      <c r="F301" s="2" t="s">
        <v>161</v>
      </c>
      <c r="G301" s="5" t="str">
        <f>HYPERLINK("http://www8.mpce.mp.br/Empenhos/150501/NE/2024NE000444.pdf","2024NE000444")</f>
        <v>2024NE000444</v>
      </c>
      <c r="H301" s="6">
        <v>5203.1000000000004</v>
      </c>
      <c r="I301" s="7" t="s">
        <v>203</v>
      </c>
      <c r="J301" s="10" t="s">
        <v>204</v>
      </c>
      <c r="K301" t="str">
        <f>HYPERLINK("http://www8.mpce.mp.br/Empenhos/150501/NE/2024NE000230.pdf","2024NE000230")</f>
        <v>2024NE000230</v>
      </c>
      <c r="L301" s="13">
        <v>61958.53</v>
      </c>
      <c r="M301" t="s">
        <v>142</v>
      </c>
      <c r="N301">
        <v>8744388000147</v>
      </c>
    </row>
    <row r="302" spans="1:14" ht="51" x14ac:dyDescent="0.25">
      <c r="A302" s="12" t="s">
        <v>34</v>
      </c>
      <c r="B302" s="2" t="s">
        <v>480</v>
      </c>
      <c r="C302" s="3" t="str">
        <f>HYPERLINK("https://transparencia-area-fim.mpce.mp.br/#/consulta/processo/pastadigital/092022000343840","09.2022.00034384-0")</f>
        <v>09.2022.00034384-0</v>
      </c>
      <c r="D302" s="4">
        <v>45414</v>
      </c>
      <c r="E302" s="16" t="str">
        <f>HYPERLINK("https://www8.mpce.mp.br/Empenhos/150001/Objeto/11-2023.pdf","ALUGUEL DO IMÓVEL  ONDE FUNCIONAM AS PROMOTORIAS DE JUSTIÇA DA COMARCA DE SANTA QUITÉRIA, RELATIVO AO CONTRATO Nº 011/2023/PGJ, REF. AOS MESES MAIO E JUNHO DE2024")</f>
        <v>ALUGUEL DO IMÓVEL  ONDE FUNCIONAM AS PROMOTORIAS DE JUSTIÇA DA COMARCA DE SANTA QUITÉRIA, RELATIVO AO CONTRATO Nº 011/2023/PGJ, REF. AOS MESES MAIO E JUNHO DE2024</v>
      </c>
      <c r="F302" s="2" t="s">
        <v>116</v>
      </c>
      <c r="G302" s="5" t="str">
        <f>HYPERLINK("http://www8.mpce.mp.br/Empenhos/150501/NE/2024NE000445.pdf","2024NE000445")</f>
        <v>2024NE000445</v>
      </c>
      <c r="H302" s="6">
        <v>26400</v>
      </c>
      <c r="I302" s="7" t="s">
        <v>238</v>
      </c>
      <c r="J302" s="10" t="s">
        <v>239</v>
      </c>
      <c r="K302" t="str">
        <f>HYPERLINK("http://www8.mpce.mp.br/Empenhos/150501/NE/2024NE000231.pdf","2024NE000231")</f>
        <v>2024NE000231</v>
      </c>
      <c r="L302">
        <v>237.72</v>
      </c>
      <c r="M302" t="s">
        <v>236</v>
      </c>
      <c r="N302">
        <v>49090674349</v>
      </c>
    </row>
    <row r="303" spans="1:14" ht="51" x14ac:dyDescent="0.25">
      <c r="A303" s="12" t="s">
        <v>34</v>
      </c>
      <c r="B303" s="2" t="s">
        <v>481</v>
      </c>
      <c r="C303" s="3" t="str">
        <f>HYPERLINK("https://transparencia-area-fim.mpce.mp.br/#/consulta/processo/pastadigital/092021000065217","09.2021.00006521-7")</f>
        <v>09.2021.00006521-7</v>
      </c>
      <c r="D303" s="4">
        <v>45415</v>
      </c>
      <c r="E303" s="16" t="str">
        <f>HYPERLINK("https://www8.mpce.mp.br/Empenhos/150001/Objeto/38-2021.pdf","ALUGUEL, REF. AO IMÓVEL ONDE FUNCIONAM AS PROMOTORIAS DE JUSTIÇA DA COMARCA DE TAUÁ, CONF. CONTRATO 038/2021/PGJ, RELATIVOS AOS MESES DE ABRIL, MAIO E JUNHO DE 2024.")</f>
        <v>ALUGUEL, REF. AO IMÓVEL ONDE FUNCIONAM AS PROMOTORIAS DE JUSTIÇA DA COMARCA DE TAUÁ, CONF. CONTRATO 038/2021/PGJ, RELATIVOS AOS MESES DE ABRIL, MAIO E JUNHO DE 2024.</v>
      </c>
      <c r="F303" s="2" t="s">
        <v>116</v>
      </c>
      <c r="G303" s="5" t="str">
        <f>HYPERLINK("http://www8.mpce.mp.br/Empenhos/150501/NE/2024NE000448.pdf","2024NE000448")</f>
        <v>2024NE000448</v>
      </c>
      <c r="H303" s="6">
        <v>54000</v>
      </c>
      <c r="I303" s="7" t="s">
        <v>146</v>
      </c>
      <c r="J303" s="10" t="s">
        <v>147</v>
      </c>
      <c r="K303" t="str">
        <f>HYPERLINK("http://www8.mpce.mp.br/Empenhos/150501/NE/2024NE000232.pdf","2024NE000232")</f>
        <v>2024NE000232</v>
      </c>
      <c r="L303" s="13">
        <v>22143.48</v>
      </c>
      <c r="M303" t="s">
        <v>153</v>
      </c>
      <c r="N303">
        <v>10508750000122</v>
      </c>
    </row>
    <row r="304" spans="1:14" ht="56.25" x14ac:dyDescent="0.25">
      <c r="A304" s="12" t="s">
        <v>9</v>
      </c>
      <c r="B304" s="2" t="s">
        <v>482</v>
      </c>
      <c r="C304" s="3" t="str">
        <f>HYPERLINK("https://transparencia-area-fim.mpce.mp.br/#/consulta/processo/pastadigital/092022000409094","09.2022.00040909-4")</f>
        <v>09.2022.00040909-4</v>
      </c>
      <c r="D304" s="4">
        <v>45415</v>
      </c>
      <c r="E304" s="16" t="str">
        <f>HYPERLINK("https://www8.mpce.mp.br/Empenhos/150001/Objeto/41-2023.pdf","EMPENHO REF. ALUGUEL DE IMÓVEL ONDE FUNCIONA A SEDE DE PROMOTORIAS DE JUSTIÇA DE GUARACIABA DO NORTE, CONF. CONTRATO 041/2023, REF. MAI-JUN, POR ESTIMATIVA.")</f>
        <v>EMPENHO REF. ALUGUEL DE IMÓVEL ONDE FUNCIONA A SEDE DE PROMOTORIAS DE JUSTIÇA DE GUARACIABA DO NORTE, CONF. CONTRATO 041/2023, REF. MAI-JUN, POR ESTIMATIVA.</v>
      </c>
      <c r="F304" s="2" t="s">
        <v>161</v>
      </c>
      <c r="G304" s="5" t="str">
        <f>HYPERLINK("http://www8.mpce.mp.br/Empenhos/150501/NE/2024NE000449.pdf","2024NE000449")</f>
        <v>2024NE000449</v>
      </c>
      <c r="H304" s="6">
        <v>3100</v>
      </c>
      <c r="I304" s="7" t="s">
        <v>184</v>
      </c>
      <c r="J304" s="10" t="s">
        <v>185</v>
      </c>
      <c r="K304" t="str">
        <f>HYPERLINK("http://www8.mpce.mp.br/Empenhos/150501/NE/2024NE000233.pdf","2024NE000233")</f>
        <v>2024NE000233</v>
      </c>
      <c r="L304" s="13">
        <v>58910.97</v>
      </c>
      <c r="M304" t="s">
        <v>158</v>
      </c>
      <c r="N304">
        <v>5569807000163</v>
      </c>
    </row>
    <row r="305" spans="1:14" ht="38.25" x14ac:dyDescent="0.25">
      <c r="A305" s="12" t="s">
        <v>34</v>
      </c>
      <c r="B305" s="2" t="s">
        <v>483</v>
      </c>
      <c r="C305" s="3" t="str">
        <f>HYPERLINK("https://transparencia-area-fim.mpce.mp.br/#/consulta/processo/pastadigital/092022000110511","09.2022.00011051-1")</f>
        <v>09.2022.00011051-1</v>
      </c>
      <c r="D305" s="4">
        <v>45415</v>
      </c>
      <c r="E305" s="16" t="str">
        <f>HYPERLINK("https://www8.mpce.mp.br/Empenhos/150001/Objeto/38-2022.pdf","ALUGUEL DO IMÓVEL ONDE FUNCIONAM AS PROMOTORIAS DE JUSTIÇA DE NOVA OLINDA, CONF. CONTRATO 038/2022/PGJ, REF. AOS MESES DE MAIO E JUNHO DE 2024.")</f>
        <v>ALUGUEL DO IMÓVEL ONDE FUNCIONAM AS PROMOTORIAS DE JUSTIÇA DE NOVA OLINDA, CONF. CONTRATO 038/2022/PGJ, REF. AOS MESES DE MAIO E JUNHO DE 2024.</v>
      </c>
      <c r="F305" s="2" t="s">
        <v>161</v>
      </c>
      <c r="G305" s="5" t="str">
        <f>HYPERLINK("http://www8.mpce.mp.br/Empenhos/150501/NE/2024NE000450.pdf","2024NE000450")</f>
        <v>2024NE000450</v>
      </c>
      <c r="H305" s="6">
        <v>4000</v>
      </c>
      <c r="I305" s="7" t="s">
        <v>229</v>
      </c>
      <c r="J305" s="10" t="s">
        <v>230</v>
      </c>
      <c r="K305" t="str">
        <f>HYPERLINK("http://www8.mpce.mp.br/Empenhos/150501/NE/2024NE000234.pdf","2024NE000234")</f>
        <v>2024NE000234</v>
      </c>
      <c r="L305" s="13">
        <v>5600</v>
      </c>
      <c r="M305" t="s">
        <v>123</v>
      </c>
      <c r="N305">
        <v>12255352000177</v>
      </c>
    </row>
    <row r="306" spans="1:14" ht="56.25" x14ac:dyDescent="0.25">
      <c r="A306" s="12" t="s">
        <v>9</v>
      </c>
      <c r="B306" s="2" t="s">
        <v>484</v>
      </c>
      <c r="C306" s="3" t="str">
        <f>HYPERLINK("https://transparencia-area-fim.mpce.mp.br/#/consulta/processo/pastadigital/092023000214163","09.2023.00021416-3")</f>
        <v>09.2023.00021416-3</v>
      </c>
      <c r="D306" s="4">
        <v>45415</v>
      </c>
      <c r="E306" s="16" t="str">
        <f>HYPERLINK("https://www8.mpce.mp.br/Empenhos/150001/Objeto/56-2023.pdf","EMPENHO REF. ALUGUEL DO IMÓVEL ONDE FUNCIONA A SEDE DAS PROMOTORIAS DE JUSTIÇA DA COMARCA DE BATURITÉ, CONF. CONTRATO 056/2023, REF. MAI E JUN/2024, POR ESTIMATIVA.")</f>
        <v>EMPENHO REF. ALUGUEL DO IMÓVEL ONDE FUNCIONA A SEDE DAS PROMOTORIAS DE JUSTIÇA DA COMARCA DE BATURITÉ, CONF. CONTRATO 056/2023, REF. MAI E JUN/2024, POR ESTIMATIVA.</v>
      </c>
      <c r="F306" s="2" t="s">
        <v>116</v>
      </c>
      <c r="G306" s="5" t="str">
        <f>HYPERLINK("http://www8.mpce.mp.br/Empenhos/150501/NE/2024NE000451.pdf","2024NE000451")</f>
        <v>2024NE000451</v>
      </c>
      <c r="H306" s="6">
        <v>10800</v>
      </c>
      <c r="I306" s="7" t="s">
        <v>156</v>
      </c>
      <c r="J306" s="10" t="s">
        <v>157</v>
      </c>
      <c r="K306" t="str">
        <f>HYPERLINK("http://www8.mpce.mp.br/Empenhos/150501/NE/2024NE000235.pdf","2024NE000235")</f>
        <v>2024NE000235</v>
      </c>
      <c r="L306" s="13">
        <v>22000</v>
      </c>
      <c r="M306" t="s">
        <v>153</v>
      </c>
      <c r="N306">
        <v>10508750000122</v>
      </c>
    </row>
    <row r="307" spans="1:14" ht="51" x14ac:dyDescent="0.25">
      <c r="A307" s="12" t="s">
        <v>9</v>
      </c>
      <c r="B307" s="2" t="s">
        <v>485</v>
      </c>
      <c r="C307" s="3" t="str">
        <f>HYPERLINK("https://transparencia-area-fim.mpce.mp.br/#/consulta/processo/pastadigital/092023000214163","09.2023.00021416-3")</f>
        <v>09.2023.00021416-3</v>
      </c>
      <c r="D307" s="4">
        <v>45415</v>
      </c>
      <c r="E307" s="16" t="str">
        <f>HYPERLINK("https://www8.mpce.mp.br/Empenhos/150001/Objeto/56-2023.pdf","ALUGUEL REF. AO IMÓVEL ONDE FUNCIONAM AS PROMOTORIAS DE JUSTIÇA DA COMARCA DE BATURITÉ, CONF. CONTRATO Nº 056/2023/PGJ, DOS MESES DE MAIO E JUNHO DE 2024.")</f>
        <v>ALUGUEL REF. AO IMÓVEL ONDE FUNCIONAM AS PROMOTORIAS DE JUSTIÇA DA COMARCA DE BATURITÉ, CONF. CONTRATO Nº 056/2023/PGJ, DOS MESES DE MAIO E JUNHO DE 2024.</v>
      </c>
      <c r="F307" s="2" t="s">
        <v>116</v>
      </c>
      <c r="G307" s="5" t="str">
        <f>HYPERLINK("http://www8.mpce.mp.br/Empenhos/150501/NE/2024NE000452.pdf","2024NE000452")</f>
        <v>2024NE000452</v>
      </c>
      <c r="H307" s="6">
        <v>10800</v>
      </c>
      <c r="I307" s="7" t="s">
        <v>156</v>
      </c>
      <c r="J307" s="10" t="s">
        <v>157</v>
      </c>
      <c r="K307" t="str">
        <f>HYPERLINK("http://www8.mpce.mp.br/Empenhos/150501/NE/2024NE000238.pdf","2024NE000238")</f>
        <v>2024NE000238</v>
      </c>
      <c r="L307" s="13">
        <v>35789.699999999997</v>
      </c>
      <c r="M307" t="s">
        <v>120</v>
      </c>
      <c r="N307">
        <v>41548652000142</v>
      </c>
    </row>
    <row r="308" spans="1:14" ht="51" x14ac:dyDescent="0.25">
      <c r="A308" s="12" t="s">
        <v>34</v>
      </c>
      <c r="B308" s="2" t="s">
        <v>334</v>
      </c>
      <c r="C308" s="3" t="str">
        <f>HYPERLINK("https://transparencia-area-fim.mpce.mp.br/#/consulta/processo/pastadigital/092021000064195","09.2021.00006419-5")</f>
        <v>09.2021.00006419-5</v>
      </c>
      <c r="D308" s="4">
        <v>45415</v>
      </c>
      <c r="E308" s="16" t="str">
        <f>HYPERLINK("https://www8.mpce.mp.br/Empenhos/150001/Objeto/41-2021.pdf","EMPENHO REF. ALUGUEL DO IMÓVEL ONDE FUNCIONA A SEDE DAS PROMOTORIAS DE JUSTIÇA DA COMARCA DE QUIXADÁ, CONF. CONTRATO 041/2021, REF. MAI E JUN/2024, POR ESTIMATIVA.")</f>
        <v>EMPENHO REF. ALUGUEL DO IMÓVEL ONDE FUNCIONA A SEDE DAS PROMOTORIAS DE JUSTIÇA DA COMARCA DE QUIXADÁ, CONF. CONTRATO 041/2021, REF. MAI E JUN/2024, POR ESTIMATIVA.</v>
      </c>
      <c r="F308" s="2" t="s">
        <v>116</v>
      </c>
      <c r="G308" s="5" t="str">
        <f>HYPERLINK("http://www8.mpce.mp.br/Empenhos/150501/NE/2024NE000454.pdf","2024NE000454")</f>
        <v>2024NE000454</v>
      </c>
      <c r="H308" s="6">
        <v>37800</v>
      </c>
      <c r="I308" s="7" t="s">
        <v>129</v>
      </c>
      <c r="J308" s="10" t="s">
        <v>130</v>
      </c>
      <c r="K308" t="str">
        <f>HYPERLINK("http://www8.mpce.mp.br/Empenhos/150501/NE/2024NE000239.pdf","2024NE000239")</f>
        <v>2024NE000239</v>
      </c>
      <c r="L308" s="13">
        <v>92282</v>
      </c>
      <c r="M308" t="s">
        <v>254</v>
      </c>
      <c r="N308">
        <v>8918421000108</v>
      </c>
    </row>
    <row r="309" spans="1:14" ht="38.25" x14ac:dyDescent="0.25">
      <c r="A309" s="12" t="s">
        <v>9</v>
      </c>
      <c r="B309" s="2" t="s">
        <v>369</v>
      </c>
      <c r="C309" s="3" t="str">
        <f>HYPERLINK("https://transparencia-area-fim.mpce.mp.br/#/consulta/processo/pastadigital/092022000426227","09.2022.00042622-7")</f>
        <v>09.2022.00042622-7</v>
      </c>
      <c r="D309" s="4">
        <v>45415</v>
      </c>
      <c r="E309" s="16" t="str">
        <f>HYPERLINK("https://www8.mpce.mp.br/Empenhos/150001/Objeto/33-2023.pdf","ALUGUEL DO IMÓVEL ONDE FUNCIONAM AS PROMOTORIAS DE JUSTIÇA DA COMARCA DE JUCÁS, CONF. CONTRATO Nº 033/2023/PGJ, REF, AOS MESES DE MAIO E JUNHO DE 2024.")</f>
        <v>ALUGUEL DO IMÓVEL ONDE FUNCIONAM AS PROMOTORIAS DE JUSTIÇA DA COMARCA DE JUCÁS, CONF. CONTRATO Nº 033/2023/PGJ, REF, AOS MESES DE MAIO E JUNHO DE 2024.</v>
      </c>
      <c r="F309" s="2" t="s">
        <v>161</v>
      </c>
      <c r="G309" s="5" t="str">
        <f>HYPERLINK("http://www8.mpce.mp.br/Empenhos/150501/NE/2024NE000455.pdf","2024NE000455")</f>
        <v>2024NE000455</v>
      </c>
      <c r="H309" s="6">
        <v>5000</v>
      </c>
      <c r="I309" s="7" t="s">
        <v>195</v>
      </c>
      <c r="J309" s="10" t="s">
        <v>196</v>
      </c>
      <c r="K309" t="str">
        <f>HYPERLINK("http://www8.mpce.mp.br/Empenhos/150501/NE/2024NE000241.pdf","2024NE000241")</f>
        <v>2024NE000241</v>
      </c>
      <c r="L309" s="13">
        <v>51948.800000000003</v>
      </c>
      <c r="M309" t="s">
        <v>254</v>
      </c>
      <c r="N309">
        <v>8918421000108</v>
      </c>
    </row>
    <row r="310" spans="1:14" ht="51" x14ac:dyDescent="0.25">
      <c r="A310" s="12" t="s">
        <v>34</v>
      </c>
      <c r="B310" s="2" t="s">
        <v>334</v>
      </c>
      <c r="C310" s="3" t="str">
        <f>HYPERLINK("https://transparencia-area-fim.mpce.mp.br/#/consulta/processo/pastadigital/092021000244582","09.2021.00024458-2")</f>
        <v>09.2021.00024458-2</v>
      </c>
      <c r="D310" s="4">
        <v>45415</v>
      </c>
      <c r="E310" s="16" t="str">
        <f>HYPERLINK("https://www8.mpce.mp.br/Empenhos/150001/Objeto/11-2022.pdf","EMPENHO REF. ALUGUEL DO IMÓVEL ONDE FUNCIONA A SEDE DAS PROMOTORIAS DE JUSTIÇA DA COMARCA DE ARACATI, CONF. CONTRATO 011/2022, REF. MAI E JUN/2024, POR ESTIMATIVA.")</f>
        <v>EMPENHO REF. ALUGUEL DO IMÓVEL ONDE FUNCIONA A SEDE DAS PROMOTORIAS DE JUSTIÇA DA COMARCA DE ARACATI, CONF. CONTRATO 011/2022, REF. MAI E JUN/2024, POR ESTIMATIVA.</v>
      </c>
      <c r="F310" s="2" t="s">
        <v>116</v>
      </c>
      <c r="G310" s="5" t="str">
        <f>HYPERLINK("http://www8.mpce.mp.br/Empenhos/150501/NE/2024NE000456.pdf","2024NE000456")</f>
        <v>2024NE000456</v>
      </c>
      <c r="H310" s="6">
        <v>36930</v>
      </c>
      <c r="I310" s="7" t="s">
        <v>171</v>
      </c>
      <c r="J310" s="10" t="s">
        <v>172</v>
      </c>
      <c r="K310" t="str">
        <f>HYPERLINK("http://www8.mpce.mp.br/Empenhos/150501/NE/2024NE000246.pdf","2024NE000246")</f>
        <v>2024NE000246</v>
      </c>
      <c r="L310" s="13">
        <v>33400.11</v>
      </c>
      <c r="M310" t="s">
        <v>134</v>
      </c>
      <c r="N310">
        <v>44114554000195</v>
      </c>
    </row>
    <row r="311" spans="1:14" ht="51" x14ac:dyDescent="0.25">
      <c r="A311" s="12" t="s">
        <v>34</v>
      </c>
      <c r="B311" s="2" t="s">
        <v>334</v>
      </c>
      <c r="C311" s="3" t="str">
        <f>HYPERLINK("https://transparencia-area-fim.mpce.mp.br/#/consulta/processo/pastadigital/092021000244449","09.2021.00024444-9")</f>
        <v>09.2021.00024444-9</v>
      </c>
      <c r="D311" s="4">
        <v>45415</v>
      </c>
      <c r="E311" s="16" t="str">
        <f>HYPERLINK("https://www8.mpce.mp.br/Empenhos/150001/Objeto/12-2022.pdf","EMPENHO REF. ALUGUEL DO IMÓVEL ONDE FUNCIONA A SEDE DAS PROMOTORIAS DE JUSTIÇA DA COMARCA DE RUSSAS-CE, CONF. CONTRATO 012/2022, REF. MAI E JUN/2024, POR ESTIMATIVA.")</f>
        <v>EMPENHO REF. ALUGUEL DO IMÓVEL ONDE FUNCIONA A SEDE DAS PROMOTORIAS DE JUSTIÇA DA COMARCA DE RUSSAS-CE, CONF. CONTRATO 012/2022, REF. MAI E JUN/2024, POR ESTIMATIVA.</v>
      </c>
      <c r="F311" s="2" t="s">
        <v>116</v>
      </c>
      <c r="G311" s="5" t="str">
        <f>HYPERLINK("http://www8.mpce.mp.br/Empenhos/150501/NE/2024NE000457.pdf","2024NE000457")</f>
        <v>2024NE000457</v>
      </c>
      <c r="H311" s="6">
        <v>41800</v>
      </c>
      <c r="I311" s="7" t="s">
        <v>129</v>
      </c>
      <c r="J311" s="10" t="s">
        <v>130</v>
      </c>
      <c r="K311" t="str">
        <f>HYPERLINK("http://www8.mpce.mp.br/Empenhos/150501/NE/2024NE000247.pdf","2024NE000247")</f>
        <v>2024NE000247</v>
      </c>
      <c r="L311" s="13">
        <v>18900</v>
      </c>
      <c r="M311" t="s">
        <v>129</v>
      </c>
      <c r="N311">
        <v>32697604000125</v>
      </c>
    </row>
    <row r="312" spans="1:14" ht="51" x14ac:dyDescent="0.25">
      <c r="A312" s="12" t="s">
        <v>34</v>
      </c>
      <c r="B312" s="2" t="s">
        <v>486</v>
      </c>
      <c r="C312" s="3" t="str">
        <f>HYPERLINK("http://www8.mpce.mp.br/Dispensa/1320920133.pdf","13209/2013-3")</f>
        <v>13209/2013-3</v>
      </c>
      <c r="D312" s="4">
        <v>45415</v>
      </c>
      <c r="E312" s="16" t="str">
        <f>HYPERLINK("https://www8.mpce.mp.br/Empenhos/150001/Objeto/43-2013.pdf","ALUGUEL DO IMÓVEL ONDE FUNCIONAM AS PROMOTORIAS DE JUSTIÇA DA COMARCA DE MORADA NOVA, CONF. CONTRATO Nº 043/2013/CPL/PGJ, REF, AOS MESES DE MAIO E JUNHO DE 2024.")</f>
        <v>ALUGUEL DO IMÓVEL ONDE FUNCIONAM AS PROMOTORIAS DE JUSTIÇA DA COMARCA DE MORADA NOVA, CONF. CONTRATO Nº 043/2013/CPL/PGJ, REF, AOS MESES DE MAIO E JUNHO DE 2024.</v>
      </c>
      <c r="F312" s="2" t="s">
        <v>161</v>
      </c>
      <c r="G312" s="5" t="str">
        <f>HYPERLINK("http://www8.mpce.mp.br/Empenhos/150501/NE/2024NE000458.pdf","2024NE000458")</f>
        <v>2024NE000458</v>
      </c>
      <c r="H312" s="6">
        <v>16300.56</v>
      </c>
      <c r="I312" s="7" t="s">
        <v>177</v>
      </c>
      <c r="J312" s="10" t="s">
        <v>178</v>
      </c>
      <c r="K312" t="str">
        <f>HYPERLINK("http://www8.mpce.mp.br/Empenhos/150501/NE/2024NE000248.pdf","2024NE000248")</f>
        <v>2024NE000248</v>
      </c>
      <c r="L312" s="13">
        <v>18000</v>
      </c>
      <c r="M312" t="s">
        <v>146</v>
      </c>
      <c r="N312">
        <v>41456187000110</v>
      </c>
    </row>
    <row r="313" spans="1:14" ht="56.25" x14ac:dyDescent="0.25">
      <c r="A313" s="12" t="s">
        <v>34</v>
      </c>
      <c r="B313" s="2" t="s">
        <v>487</v>
      </c>
      <c r="C313" s="3" t="str">
        <f>HYPERLINK("https://transparencia-area-fim.mpce.mp.br/#/consulta/processo/pastadigital/092022000343751","09.2022.00034375-1")</f>
        <v>09.2022.00034375-1</v>
      </c>
      <c r="D313" s="4">
        <v>45415</v>
      </c>
      <c r="E313" s="16" t="str">
        <f>HYPERLINK("https://www8.mpce.mp.br/Empenhos/150001/Objeto/08-2023.pdf","EMPENHO REF. ALUGUEL DE IMÓVEL ONDE FUNCIONA A SEDE DE PROMOTORIAS DE JUSTIÇA DE QUIXERAMOBIM, CONF. CONTRATO 008/2023, REF. MAI E JUN, POR ESTIMATIVA.")</f>
        <v>EMPENHO REF. ALUGUEL DE IMÓVEL ONDE FUNCIONA A SEDE DE PROMOTORIAS DE JUSTIÇA DE QUIXERAMOBIM, CONF. CONTRATO 008/2023, REF. MAI E JUN, POR ESTIMATIVA.</v>
      </c>
      <c r="F313" s="2" t="s">
        <v>116</v>
      </c>
      <c r="G313" s="5" t="str">
        <f>HYPERLINK("http://www8.mpce.mp.br/Empenhos/150501/NE/2024NE000459.pdf","2024NE000459")</f>
        <v>2024NE000459</v>
      </c>
      <c r="H313" s="6">
        <v>28360</v>
      </c>
      <c r="I313" s="7" t="s">
        <v>129</v>
      </c>
      <c r="J313" s="10" t="s">
        <v>130</v>
      </c>
      <c r="K313" t="str">
        <f>HYPERLINK("http://www8.mpce.mp.br/Empenhos/150501/NE/2024NE000249.pdf","2024NE000249")</f>
        <v>2024NE000249</v>
      </c>
      <c r="L313" s="13">
        <v>20900</v>
      </c>
      <c r="M313" t="s">
        <v>129</v>
      </c>
      <c r="N313">
        <v>32697604000125</v>
      </c>
    </row>
    <row r="314" spans="1:14" ht="120" x14ac:dyDescent="0.25">
      <c r="A314" s="12" t="s">
        <v>34</v>
      </c>
      <c r="B314" s="2" t="s">
        <v>488</v>
      </c>
      <c r="C314" s="3" t="str">
        <f>HYPERLINK("http://www8.mpce.mp.br/Dispensa/6795020160.pdf","6795020160")</f>
        <v>6795020160</v>
      </c>
      <c r="D314" s="4">
        <v>45415</v>
      </c>
      <c r="E314" s="17" t="str">
        <f>HYPERLINK("https://www8.mpce.mp.br/Empenhos/150001/Objeto/08-2017.pdf","EMPENHO REF. ALUGUEL DE IMÓVEL ONDE FUNCIONA SEDE DE PROMOTORIAS DE JUSTIÇA DA COMARCA DE JARDIM, CONF. CONTRATO 008/2017, REF. MAI E JUN, POR ESTIMATIVA.ERRATA:"&amp;"NO CAMPO EMBASAMENTO LEGAL DA NOTA DE EMPENHO 2024NE000273 DE FLS. 03/04, ONDE SE LÊ:LEI N° 14.133/2021, ART. 75 E CONTRATO Nº 008/2017/PGJ. LEIA-SE:LEI 8.666/93, ART. 24, X PROC. DISPENSA DE LICITAÇÃO: 67950/2016-0, CONF. CONTRATO 008/2017"".")</f>
        <v>EMPENHO REF. ALUGUEL DE IMÓVEL ONDE FUNCIONA SEDE DE PROMOTORIAS DE JUSTIÇA DA COMARCA DE JARDIM, CONF. CONTRATO 008/2017, REF. MAI E JUN, POR ESTIMATIVA.ERRATA:NO CAMPO EMBASAMENTO LEGAL DA NOTA DE EMPENHO 2024NE000273 DE FLS. 03/04, ONDE SE LÊ:LEI N° 14.133/2021, ART. 75 E CONTRATO Nº 008/2017/PGJ. LEIA-SE:LEI 8.666/93, ART. 24, X PROC. DISPENSA DE LICITAÇÃO: 67950/2016-0, CONF. CONTRATO 008/2017".</v>
      </c>
      <c r="F314" s="2" t="s">
        <v>161</v>
      </c>
      <c r="G314" s="5" t="str">
        <f>HYPERLINK("http://www8.mpce.mp.br/Empenhos/150501/NE/2024NE000460.pdf","2024NE000460")</f>
        <v>2024NE000460</v>
      </c>
      <c r="H314" s="6">
        <v>1360.06</v>
      </c>
      <c r="I314" s="7" t="s">
        <v>219</v>
      </c>
      <c r="J314" s="10" t="s">
        <v>220</v>
      </c>
      <c r="K314" t="str">
        <f>HYPERLINK("http://www8.mpce.mp.br/Empenhos/150501/NE/2024NE000250.pdf","2024NE000250")</f>
        <v>2024NE000250</v>
      </c>
      <c r="L314" s="13">
        <v>18465</v>
      </c>
      <c r="M314" t="s">
        <v>171</v>
      </c>
      <c r="N314">
        <v>7936046000166</v>
      </c>
    </row>
    <row r="315" spans="1:14" ht="67.5" x14ac:dyDescent="0.25">
      <c r="A315" s="12" t="s">
        <v>34</v>
      </c>
      <c r="B315" s="2" t="s">
        <v>489</v>
      </c>
      <c r="C315" s="3" t="str">
        <f>HYPERLINK("https://transparencia-area-fim.mpce.mp.br/#/consulta/processo/pastadigital/092022000230870","09.2022.00023087-0")</f>
        <v>09.2022.00023087-0</v>
      </c>
      <c r="D315" s="4">
        <v>45418</v>
      </c>
      <c r="E315" s="16" t="str">
        <f>HYPERLINK("https://www8.mpce.mp.br/Empenhos/150001/Objeto/29-2022.pdf","EMPENHO REF. REEMBOLSO DE IPTU DE IMÓVEL ONDE FUNCIONA A SEDE DE PROMOTORIAS DE JUSTIÇA DE JUAZEIRO DO NORTE, CONF. CONTRATO 029/2022, REF. 2024 - PARCELA ÚNICA.")</f>
        <v>EMPENHO REF. REEMBOLSO DE IPTU DE IMÓVEL ONDE FUNCIONA A SEDE DE PROMOTORIAS DE JUSTIÇA DE JUAZEIRO DO NORTE, CONF. CONTRATO 029/2022, REF. 2024 - PARCELA ÚNICA.</v>
      </c>
      <c r="F315" s="2" t="s">
        <v>252</v>
      </c>
      <c r="G315" s="5" t="str">
        <f>HYPERLINK("http://www8.mpce.mp.br/Empenhos/150501/NE/2024NE000462.pdf","2024NE000462")</f>
        <v>2024NE000462</v>
      </c>
      <c r="H315" s="6">
        <v>5911.33</v>
      </c>
      <c r="I315" s="7" t="s">
        <v>132</v>
      </c>
      <c r="J315" s="10" t="s">
        <v>133</v>
      </c>
      <c r="K315" t="str">
        <f>HYPERLINK("http://www8.mpce.mp.br/Empenhos/150501/NE/2024NE000251.pdf","2024NE000251")</f>
        <v>2024NE000251</v>
      </c>
      <c r="L315" s="13">
        <v>13486.5</v>
      </c>
      <c r="M315" t="s">
        <v>217</v>
      </c>
      <c r="N315">
        <v>8034508420</v>
      </c>
    </row>
    <row r="316" spans="1:14" ht="51" x14ac:dyDescent="0.25">
      <c r="A316" s="12" t="s">
        <v>34</v>
      </c>
      <c r="B316" s="2" t="s">
        <v>490</v>
      </c>
      <c r="C316" s="3" t="str">
        <f>HYPERLINK("http://www8.mpce.mp.br/Dispensa/3642820165.pdf","36428/2016-5")</f>
        <v>36428/2016-5</v>
      </c>
      <c r="D316" s="4">
        <v>45420</v>
      </c>
      <c r="E316" s="16" t="str">
        <f>HYPERLINK("https://www8.mpce.mp.br/Empenhos/150001/Objeto/26-2017.pdf","REFERENTE AO IMÓVEL ONDE FUNCIONAM AS PROMOTORIAS DE JUSTIÇA DA COMARCA DE MARANGUAPE, RELATIVO AO CONTRATO Nº 026/2017/PGJ, DOS MESES DE MAIO E JUNHO DE 2024.")</f>
        <v>REFERENTE AO IMÓVEL ONDE FUNCIONAM AS PROMOTORIAS DE JUSTIÇA DA COMARCA DE MARANGUAPE, RELATIVO AO CONTRATO Nº 026/2017/PGJ, DOS MESES DE MAIO E JUNHO DE 2024.</v>
      </c>
      <c r="F316" s="2" t="s">
        <v>161</v>
      </c>
      <c r="G316" s="5" t="str">
        <f>HYPERLINK("http://www8.mpce.mp.br/Empenhos/150501/NE/2024NE000469.pdf","2024NE000469")</f>
        <v>2024NE000469</v>
      </c>
      <c r="H316" s="6">
        <v>11036.3</v>
      </c>
      <c r="I316" s="7" t="s">
        <v>205</v>
      </c>
      <c r="J316" s="10" t="s">
        <v>206</v>
      </c>
      <c r="K316" t="str">
        <f>HYPERLINK("http://www8.mpce.mp.br/Empenhos/150001/NE/2024NE000252.pdf","2024NE000252")</f>
        <v>2024NE000252</v>
      </c>
      <c r="L316" s="13">
        <v>93478.8</v>
      </c>
      <c r="M316" t="s">
        <v>339</v>
      </c>
      <c r="N316">
        <v>13183749000163</v>
      </c>
    </row>
    <row r="317" spans="1:14" ht="78.75" x14ac:dyDescent="0.25">
      <c r="A317" s="12" t="s">
        <v>9</v>
      </c>
      <c r="B317" s="2" t="s">
        <v>491</v>
      </c>
      <c r="C317" s="3" t="str">
        <f>HYPERLINK("https://transparencia-area-fim.mpce.mp.br/#/consulta/processo/pastadigital/092023000385590","09.2023.00038559-0")</f>
        <v>09.2023.00038559-0</v>
      </c>
      <c r="D317" s="4">
        <v>45420</v>
      </c>
      <c r="E317" s="16" t="str">
        <f>HYPERLINK("https://www8.mpce.mp.br/Empenhos/150001/Objeto/25-2024.pdf","EMPENHO REF. LICENÇAS DE ACESSO À PLATAFORMA WELLZ E À PLATAFORMA GYMPASS, PARA MEMBROS E SERVIDORES DO MPCE, CONF. CONTRATO 025/2024 E OS 004/2024/SEGEP, REF. ABR, MAI E JUN/2024, POR ESTIMATIVA.")</f>
        <v>EMPENHO REF. LICENÇAS DE ACESSO À PLATAFORMA WELLZ E À PLATAFORMA GYMPASS, PARA MEMBROS E SERVIDORES DO MPCE, CONF. CONTRATO 025/2024 E OS 004/2024/SEGEP, REF. ABR, MAI E JUN/2024, POR ESTIMATIVA.</v>
      </c>
      <c r="F317" s="2" t="s">
        <v>109</v>
      </c>
      <c r="G317" s="5" t="str">
        <f>HYPERLINK("http://www8.mpce.mp.br/Empenhos/150501/NE/2024NE000470.pdf","2024NE000470")</f>
        <v>2024NE000470</v>
      </c>
      <c r="H317" s="6">
        <v>161000</v>
      </c>
      <c r="I317" s="7" t="s">
        <v>492</v>
      </c>
      <c r="J317" s="10" t="s">
        <v>845</v>
      </c>
      <c r="K317" t="str">
        <f>HYPERLINK("http://www8.mpce.mp.br/Empenhos/150001/NE/2024NE000252.pdf","2024NE000252")</f>
        <v>2024NE000252</v>
      </c>
      <c r="L317" s="13">
        <v>93478.8</v>
      </c>
      <c r="M317" t="s">
        <v>339</v>
      </c>
      <c r="N317">
        <v>13183749000163</v>
      </c>
    </row>
    <row r="318" spans="1:14" ht="63.75" x14ac:dyDescent="0.25">
      <c r="A318" s="12" t="s">
        <v>34</v>
      </c>
      <c r="B318" s="2" t="s">
        <v>493</v>
      </c>
      <c r="C318" s="3" t="str">
        <f>HYPERLINK("http://www8.mpce.mp.br/Dispensa/575920103.pdf","5759/2010-3")</f>
        <v>5759/2010-3</v>
      </c>
      <c r="D318" s="4">
        <v>45421</v>
      </c>
      <c r="E318" s="16" t="str">
        <f>HYPERLINK("https://www8.mpce.mp.br/Empenhos/150001/Objeto/22-2010.pdf","IPTU REFERENTE À PARCELA ÚNICA DE 2024, RELATIVO AO IMÓVEL ONDE FUNCIONAM AS PROMOTORIAS DE JUSTIÇA DE GUAIÚBA, LOCALIZADA À RUA PADRE AUGUSTO, Nº 185, CENTRO, GUAIÚBA-CE, CONF. CONTRATO Nº 022/2010/CPL/PGJ")</f>
        <v>IPTU REFERENTE À PARCELA ÚNICA DE 2024, RELATIVO AO IMÓVEL ONDE FUNCIONAM AS PROMOTORIAS DE JUSTIÇA DE GUAIÚBA, LOCALIZADA À RUA PADRE AUGUSTO, Nº 185, CENTRO, GUAIÚBA-CE, CONF. CONTRATO Nº 022/2010/CPL/PGJ</v>
      </c>
      <c r="F318" s="2" t="s">
        <v>223</v>
      </c>
      <c r="G318" s="5" t="str">
        <f>HYPERLINK("http://www8.mpce.mp.br/Empenhos/150501/NE/2024NE000472.pdf","2024NE000472")</f>
        <v>2024NE000472</v>
      </c>
      <c r="H318" s="6">
        <v>46.43</v>
      </c>
      <c r="I318" s="7" t="s">
        <v>211</v>
      </c>
      <c r="J318" s="10" t="s">
        <v>212</v>
      </c>
      <c r="K318" t="str">
        <f>HYPERLINK("http://www8.mpce.mp.br/Empenhos/150501/NE/2024NE000252.pdf","2024NE000252")</f>
        <v>2024NE000252</v>
      </c>
      <c r="L318" s="13">
        <v>45512.77</v>
      </c>
      <c r="M318" t="s">
        <v>151</v>
      </c>
      <c r="N318">
        <v>22705562000173</v>
      </c>
    </row>
    <row r="319" spans="1:14" ht="51" x14ac:dyDescent="0.25">
      <c r="A319" s="12" t="s">
        <v>34</v>
      </c>
      <c r="B319" s="2" t="s">
        <v>494</v>
      </c>
      <c r="C319" s="3" t="str">
        <f>HYPERLINK("https://transparencia-area-fim.mpce.mp.br/#/consulta/processo/pastadigital/092021000047808","09.2021.00004780-8")</f>
        <v>09.2021.00004780-8</v>
      </c>
      <c r="D319" s="4">
        <v>45421</v>
      </c>
      <c r="E319" s="16" t="str">
        <f>HYPERLINK("https://www8.mpce.mp.br/Empenhos/150001/Objeto/25-2021.pdf","ALUGUEL DO IMÓVEL ONDE FUNCIONAM AS PROMOTORIAS DE JUSTIÇA DA COMARCA DE ALTO SANTO, EM CONSONÂNCIA AO CONTRATO 025/2021/PGJ, DOS MESES DE MAIO E JUNHO DE 2024.")</f>
        <v>ALUGUEL DO IMÓVEL ONDE FUNCIONAM AS PROMOTORIAS DE JUSTIÇA DA COMARCA DE ALTO SANTO, EM CONSONÂNCIA AO CONTRATO 025/2021/PGJ, DOS MESES DE MAIO E JUNHO DE 2024.</v>
      </c>
      <c r="F319" s="2" t="s">
        <v>161</v>
      </c>
      <c r="G319" s="5" t="str">
        <f>HYPERLINK("http://www8.mpce.mp.br/Empenhos/150501/NE/2024NE000473.pdf","2024NE000473")</f>
        <v>2024NE000473</v>
      </c>
      <c r="H319" s="6">
        <v>3302.3</v>
      </c>
      <c r="I319" s="7" t="s">
        <v>207</v>
      </c>
      <c r="J319" s="10" t="s">
        <v>208</v>
      </c>
      <c r="K319" t="str">
        <f>HYPERLINK("http://www8.mpce.mp.br/Empenhos/150501/NE/2024NE000253.pdf","2024NE000253")</f>
        <v>2024NE000253</v>
      </c>
      <c r="L319" s="13">
        <v>16434.259999999998</v>
      </c>
      <c r="M319" t="s">
        <v>132</v>
      </c>
      <c r="N319">
        <v>11710431000168</v>
      </c>
    </row>
    <row r="320" spans="1:14" ht="63.75" x14ac:dyDescent="0.25">
      <c r="A320" s="12" t="s">
        <v>34</v>
      </c>
      <c r="B320" s="2" t="s">
        <v>495</v>
      </c>
      <c r="C320" s="3" t="str">
        <f>HYPERLINK("https://transparencia-area-fim.mpce.mp.br/#/consulta/processo/pastadigital/092021000047808","09.2021.00004780-8")</f>
        <v>09.2021.00004780-8</v>
      </c>
      <c r="D320" s="4">
        <v>45422</v>
      </c>
      <c r="E320" s="16" t="str">
        <f>HYPERLINK("https://www8.mpce.mp.br/Empenhos/150001/Objeto/25-2021.pdf","IPTU REFERENTE À PARCELA ÚNICA DE 2024, DO IMÓVEL ONDE FUNCIONAM AS PROMOTORIAS DE JUSTIÇA DA COMARCA DE ALTO SANTO, LOCALIZADO À RUA FREI LAMBERTO, Nº 130, BAIRRO CENTRO, ALTO SANTO, CONF. CONTRATO Nº 025/2021/PGJ.")</f>
        <v>IPTU REFERENTE À PARCELA ÚNICA DE 2024, DO IMÓVEL ONDE FUNCIONAM AS PROMOTORIAS DE JUSTIÇA DA COMARCA DE ALTO SANTO, LOCALIZADO À RUA FREI LAMBERTO, Nº 130, BAIRRO CENTRO, ALTO SANTO, CONF. CONTRATO Nº 025/2021/PGJ.</v>
      </c>
      <c r="F320" s="2" t="s">
        <v>223</v>
      </c>
      <c r="G320" s="5" t="str">
        <f>HYPERLINK("http://www8.mpce.mp.br/Empenhos/150501/NE/2024NE000474.pdf","2024NE000474")</f>
        <v>2024NE000474</v>
      </c>
      <c r="H320" s="6">
        <v>26</v>
      </c>
      <c r="I320" s="7" t="s">
        <v>207</v>
      </c>
      <c r="J320" s="10" t="s">
        <v>208</v>
      </c>
      <c r="K320" t="str">
        <f>HYPERLINK("http://www8.mpce.mp.br/Empenhos/150001/NE/2024NE000254.pdf","2024NE000254")</f>
        <v>2024NE000254</v>
      </c>
      <c r="L320">
        <v>650</v>
      </c>
      <c r="M320" t="s">
        <v>345</v>
      </c>
      <c r="N320">
        <v>29261229000161</v>
      </c>
    </row>
    <row r="321" spans="1:14" ht="63.75" x14ac:dyDescent="0.25">
      <c r="A321" s="12" t="s">
        <v>34</v>
      </c>
      <c r="B321" s="2" t="s">
        <v>496</v>
      </c>
      <c r="C321" s="3" t="str">
        <f>HYPERLINK("http://www8.mpce.mp.br/Dispensa/842220170.pdf","8422/20170")</f>
        <v>8422/20170</v>
      </c>
      <c r="D321" s="4">
        <v>45421</v>
      </c>
      <c r="E321" s="16" t="str">
        <f>HYPERLINK("https://www8.mpce.mp.br/Empenhos/150001/Objeto/16-2017.pdf","IPTU REFERENTE À 4ª PARCELA DE 2024, DO IMÓVEL ONDE FUNCIONAM AS PROMOTORIAS DE JUSTIÇA CRIMINAIS, LOCALIZADA À AV. CEL. JOSÉ FILOMENO GOMES, Nº 222, BAIRRO LUCIANO CAVALCANTE, CONF. CONTRATO Nº 016/2017/PGJ.")</f>
        <v>IPTU REFERENTE À 4ª PARCELA DE 2024, DO IMÓVEL ONDE FUNCIONAM AS PROMOTORIAS DE JUSTIÇA CRIMINAIS, LOCALIZADA À AV. CEL. JOSÉ FILOMENO GOMES, Nº 222, BAIRRO LUCIANO CAVALCANTE, CONF. CONTRATO Nº 016/2017/PGJ.</v>
      </c>
      <c r="F321" s="2" t="s">
        <v>252</v>
      </c>
      <c r="G321" s="5" t="str">
        <f>HYPERLINK("http://www8.mpce.mp.br/Empenhos/150501/NE/2024NE000475.pdf","2024NE000475")</f>
        <v>2024NE000475</v>
      </c>
      <c r="H321" s="6">
        <v>2619.0100000000002</v>
      </c>
      <c r="I321" s="7" t="s">
        <v>158</v>
      </c>
      <c r="J321" s="10" t="s">
        <v>159</v>
      </c>
      <c r="K321" t="str">
        <f>HYPERLINK("http://www8.mpce.mp.br/Empenhos/150501/NE/2024NE000254.pdf","2024NE000254")</f>
        <v>2024NE000254</v>
      </c>
      <c r="L321" s="13">
        <v>26000</v>
      </c>
      <c r="M321" t="s">
        <v>175</v>
      </c>
      <c r="N321">
        <v>14763826000117</v>
      </c>
    </row>
    <row r="322" spans="1:14" ht="76.5" x14ac:dyDescent="0.25">
      <c r="A322" s="12" t="s">
        <v>9</v>
      </c>
      <c r="B322" s="2" t="s">
        <v>409</v>
      </c>
      <c r="C322" s="3" t="str">
        <f>HYPERLINK("https://transparencia-area-fim.mpce.mp.br/#/consulta/processo/pastadigital/092024000061600","09.2024.00006160-0")</f>
        <v>09.2024.00006160-0</v>
      </c>
      <c r="D322" s="4">
        <v>45358</v>
      </c>
      <c r="E322" s="16" t="s">
        <v>410</v>
      </c>
      <c r="F322" s="2" t="s">
        <v>373</v>
      </c>
      <c r="G322" s="5" t="str">
        <f>HYPERLINK("http://www8.mpce.mp.br/Empenhos/150001/NE/2024NE000476.pdf","2024NE000476")</f>
        <v>2024NE000476</v>
      </c>
      <c r="H322" s="6">
        <v>29700</v>
      </c>
      <c r="I322" s="7" t="s">
        <v>411</v>
      </c>
      <c r="J322" s="10" t="s">
        <v>846</v>
      </c>
      <c r="K322" t="str">
        <f>HYPERLINK("http://www8.mpce.mp.br/Empenhos/150501/NE/2024NE000255.pdf","2024NE000255")</f>
        <v>2024NE000255</v>
      </c>
      <c r="L322" s="13">
        <v>26000.1</v>
      </c>
      <c r="M322" t="s">
        <v>134</v>
      </c>
      <c r="N322">
        <v>44114554000195</v>
      </c>
    </row>
    <row r="323" spans="1:14" ht="51" x14ac:dyDescent="0.25">
      <c r="A323" s="12" t="s">
        <v>34</v>
      </c>
      <c r="B323" s="2" t="s">
        <v>497</v>
      </c>
      <c r="C323" s="3" t="str">
        <f>HYPERLINK("https://transparencia-area-fim.mpce.mp.br/#/consulta/processo/pastadigital/092022000081432","09.2022.00008143-2")</f>
        <v>09.2022.00008143-2</v>
      </c>
      <c r="D323" s="4">
        <v>45421</v>
      </c>
      <c r="E323" s="16" t="str">
        <f>HYPERLINK("https://www8.mpce.mp.br/Empenhos/150001/Objeto/16-2022.pdf","IPTU REFERENTE À PARCELA ÚNICA DE 2024, RELATIVO AO IMÓVEL ONDE FUNCIONAM AS PROMOTORIAS DE JUSTIÇA DE BARBALHA, LOCALIZADAS À RUA 15 DE NOVEMBRO, Nº 231, CENTRO, CONF. 016/2022/PGJ.")</f>
        <v>IPTU REFERENTE À PARCELA ÚNICA DE 2024, RELATIVO AO IMÓVEL ONDE FUNCIONAM AS PROMOTORIAS DE JUSTIÇA DE BARBALHA, LOCALIZADAS À RUA 15 DE NOVEMBRO, Nº 231, CENTRO, CONF. 016/2022/PGJ.</v>
      </c>
      <c r="F323" s="2" t="s">
        <v>252</v>
      </c>
      <c r="G323" s="5" t="str">
        <f>HYPERLINK("http://www8.mpce.mp.br/Empenhos/150501/NE/2024NE000476.pdf","2024NE000476")</f>
        <v>2024NE000476</v>
      </c>
      <c r="H323" s="6">
        <v>1585.98</v>
      </c>
      <c r="I323" s="7" t="s">
        <v>132</v>
      </c>
      <c r="J323" s="10" t="s">
        <v>133</v>
      </c>
      <c r="K323" t="str">
        <f>HYPERLINK("http://www8.mpce.mp.br/Empenhos/150501/NE/2024NE000256.pdf","2024NE000256")</f>
        <v>2024NE000256</v>
      </c>
      <c r="L323" s="13">
        <v>66161.41</v>
      </c>
      <c r="M323" t="s">
        <v>132</v>
      </c>
      <c r="N323">
        <v>11710431000168</v>
      </c>
    </row>
    <row r="324" spans="1:14" ht="63.75" x14ac:dyDescent="0.25">
      <c r="A324" s="12" t="s">
        <v>34</v>
      </c>
      <c r="B324" s="2" t="s">
        <v>498</v>
      </c>
      <c r="C324" s="3" t="str">
        <f>HYPERLINK("https://transparencia-area-fim.mpce.mp.br/#/consulta/processo/pastadigital/092021000063220","09.2021.00006322-0")</f>
        <v>09.2021.00006322-0</v>
      </c>
      <c r="D324" s="4">
        <v>45422</v>
      </c>
      <c r="E324" s="16" t="str">
        <f>HYPERLINK("https://www8.mpce.mp.br/Empenhos/150001/Objeto/33-2021.pdf","IPTU DE 2024 REFERENTE A PARCELA ÚNICA DE 2024, DO IMÓVEL ONDE FUNCIONAM AS PROMOTORIAS DE JUSTIÇA DE SOBRAL, LOCALIZADAS NA  AV. DEPUTADO JOÃO FREDERICO FERREIRA GOMES, Nº 300, BAIRRO PARQUE SILVANA, CONF. CONTRATO Nº 033/2021/PGJ.")</f>
        <v>IPTU DE 2024 REFERENTE A PARCELA ÚNICA DE 2024, DO IMÓVEL ONDE FUNCIONAM AS PROMOTORIAS DE JUSTIÇA DE SOBRAL, LOCALIZADAS NA  AV. DEPUTADO JOÃO FREDERICO FERREIRA GOMES, Nº 300, BAIRRO PARQUE SILVANA, CONF. CONTRATO Nº 033/2021/PGJ.</v>
      </c>
      <c r="F324" s="2" t="s">
        <v>252</v>
      </c>
      <c r="G324" s="5" t="str">
        <f>HYPERLINK("http://www8.mpce.mp.br/Empenhos/150501/NE/2024NE000481.pdf","2024NE000481")</f>
        <v>2024NE000481</v>
      </c>
      <c r="H324" s="6">
        <v>20105.18</v>
      </c>
      <c r="I324" s="7" t="s">
        <v>134</v>
      </c>
      <c r="J324" s="10" t="s">
        <v>135</v>
      </c>
      <c r="K324" t="str">
        <f>HYPERLINK("http://www8.mpce.mp.br/Empenhos/150501/NE/2024NE000257.pdf","2024NE000257")</f>
        <v>2024NE000257</v>
      </c>
      <c r="L324" s="13">
        <v>14180</v>
      </c>
      <c r="M324" t="s">
        <v>129</v>
      </c>
      <c r="N324">
        <v>32697604000125</v>
      </c>
    </row>
    <row r="325" spans="1:14" ht="38.25" x14ac:dyDescent="0.25">
      <c r="A325" s="12" t="s">
        <v>34</v>
      </c>
      <c r="B325" s="2" t="s">
        <v>499</v>
      </c>
      <c r="C325" s="3" t="str">
        <f>HYPERLINK("https://transparencia-area-fim.mpce.mp.br/#/consulta/processo/pastadigital/092022000343829","09.2022.00034382-9")</f>
        <v>09.2022.00034382-9</v>
      </c>
      <c r="D325" s="4">
        <v>45425</v>
      </c>
      <c r="E325" s="16" t="str">
        <f>HYPERLINK("https://www8.mpce.mp.br/Empenhos/150001/Objeto/10-2023.pdf","ALUGUÉIS DO IMÓVEL ONDE FUNCIONAM AS PROMOTORIAS DE JUSTIÇA DA COMARCA DE ITAPAJÉ, CONF. CONTRATO Nº 010/2023/PGJ,  DOS MESES DE MAIO E JUNHO DE 2024.")</f>
        <v>ALUGUÉIS DO IMÓVEL ONDE FUNCIONAM AS PROMOTORIAS DE JUSTIÇA DA COMARCA DE ITAPAJÉ, CONF. CONTRATO Nº 010/2023/PGJ,  DOS MESES DE MAIO E JUNHO DE 2024.</v>
      </c>
      <c r="F325" s="2" t="s">
        <v>116</v>
      </c>
      <c r="G325" s="5" t="str">
        <f>HYPERLINK("http://www8.mpce.mp.br/Empenhos/150501/NE/2024NE000485.pdf","2024NE000485")</f>
        <v>2024NE000485</v>
      </c>
      <c r="H325" s="6">
        <v>27224</v>
      </c>
      <c r="I325" s="7" t="s">
        <v>129</v>
      </c>
      <c r="J325" s="10" t="s">
        <v>130</v>
      </c>
      <c r="K325" t="str">
        <f>HYPERLINK("http://www8.mpce.mp.br/Empenhos/150501/NE/2024NE000258.pdf","2024NE000258")</f>
        <v>2024NE000258</v>
      </c>
      <c r="L325" s="13">
        <v>13612</v>
      </c>
      <c r="M325" t="s">
        <v>129</v>
      </c>
      <c r="N325">
        <v>32697604000125</v>
      </c>
    </row>
    <row r="326" spans="1:14" ht="51" x14ac:dyDescent="0.25">
      <c r="A326" s="12" t="s">
        <v>34</v>
      </c>
      <c r="B326" s="2" t="s">
        <v>500</v>
      </c>
      <c r="C326" s="3" t="str">
        <f>HYPERLINK("http://www8.mpce.mp.br/Dispensa/575920103.pdf","5759/2010-3")</f>
        <v>5759/2010-3</v>
      </c>
      <c r="D326" s="4">
        <v>45425</v>
      </c>
      <c r="E326" s="16" t="str">
        <f>HYPERLINK("https://www8.mpce.mp.br/Empenhos/150001/Objeto/22-2010.pdf","ALUGUEL DO MÓVEL ONDE FUNCIONA A SEDE DAS PROMOTORIAS DE JUSTIÇA DA COMARCA DE GUAIÚBA, CONF. CONTRATO Nº 022/2010/PGJ,   REF. MAIO E JUNHO/2024.")</f>
        <v>ALUGUEL DO MÓVEL ONDE FUNCIONA A SEDE DAS PROMOTORIAS DE JUSTIÇA DA COMARCA DE GUAIÚBA, CONF. CONTRATO Nº 022/2010/PGJ,   REF. MAIO E JUNHO/2024.</v>
      </c>
      <c r="F326" s="2" t="s">
        <v>161</v>
      </c>
      <c r="G326" s="5" t="str">
        <f>HYPERLINK("http://www8.mpce.mp.br/Empenhos/150501/NE/2024NE000486.pdf","2024NE000486")</f>
        <v>2024NE000486</v>
      </c>
      <c r="H326" s="6">
        <v>4683.9399999999996</v>
      </c>
      <c r="I326" s="7" t="s">
        <v>211</v>
      </c>
      <c r="J326" s="10" t="s">
        <v>212</v>
      </c>
      <c r="K326" t="str">
        <f>HYPERLINK("http://www8.mpce.mp.br/Empenhos/150501/NE/2024NE000259.pdf","2024NE000259")</f>
        <v>2024NE000259</v>
      </c>
      <c r="L326" s="13">
        <v>18000</v>
      </c>
      <c r="M326" t="s">
        <v>240</v>
      </c>
      <c r="N326">
        <v>48444032000102</v>
      </c>
    </row>
    <row r="327" spans="1:14" ht="51" x14ac:dyDescent="0.25">
      <c r="A327" s="12" t="s">
        <v>34</v>
      </c>
      <c r="B327" s="2" t="s">
        <v>501</v>
      </c>
      <c r="C327" s="3" t="str">
        <f>HYPERLINK("http://www8.mpce.mp.br/Dispensa/146020136.pdf","1460/2013-6")</f>
        <v>1460/2013-6</v>
      </c>
      <c r="D327" s="4">
        <v>45425</v>
      </c>
      <c r="E327" s="16" t="str">
        <f>HYPERLINK("https://www8.mpce.mp.br/Empenhos/150001/Objeto/39-2013.pdf","ALUGUEL DO IMÓVEL ONDE FUNCIONAS AS PROMOTORIAS DE JUSTIÇA DA COMARCA DE CASCAVEL, RELATIVO AO CONTRATO Nº 039/2013/CPL/PGJ, MESES MAIO E JUNHO DE 2024.")</f>
        <v>ALUGUEL DO IMÓVEL ONDE FUNCIONAS AS PROMOTORIAS DE JUSTIÇA DA COMARCA DE CASCAVEL, RELATIVO AO CONTRATO Nº 039/2013/CPL/PGJ, MESES MAIO E JUNHO DE 2024.</v>
      </c>
      <c r="F327" s="2" t="s">
        <v>161</v>
      </c>
      <c r="G327" s="5" t="str">
        <f>HYPERLINK("http://www8.mpce.mp.br/Empenhos/150501/NE/2024NE000487.pdf","2024NE000487")</f>
        <v>2024NE000487</v>
      </c>
      <c r="H327" s="6">
        <v>8683.1200000000008</v>
      </c>
      <c r="I327" s="7" t="s">
        <v>232</v>
      </c>
      <c r="J327" s="10" t="s">
        <v>233</v>
      </c>
      <c r="K327" t="str">
        <f>HYPERLINK("http://www8.mpce.mp.br/Empenhos/150501/NE/2024NE000260.pdf","2024NE000260")</f>
        <v>2024NE000260</v>
      </c>
      <c r="L327" s="13">
        <v>13200</v>
      </c>
      <c r="M327" t="s">
        <v>238</v>
      </c>
      <c r="N327">
        <v>44231385000173</v>
      </c>
    </row>
    <row r="328" spans="1:14" ht="51" x14ac:dyDescent="0.25">
      <c r="A328" s="12" t="s">
        <v>34</v>
      </c>
      <c r="B328" s="2" t="s">
        <v>502</v>
      </c>
      <c r="C328" s="3" t="str">
        <f>HYPERLINK("https://transparencia-area-fim.mpce.mp.br/#/consulta/processo/pastadigital/092021000244282","09.2021.00024428-2")</f>
        <v>09.2021.00024428-2</v>
      </c>
      <c r="D328" s="4">
        <v>45425</v>
      </c>
      <c r="E328" s="16" t="str">
        <f>HYPERLINK("https://www8.mpce.mp.br/Empenhos/150001/Objeto/18-2022.pdf","ALUGUEL REF. AO IMÓVEL ONDE FUNCIONAM AS PROMOTORIAS DE JUSTIÇA DA COMARCA DE CRATEÚS, RELATIVO AO CONTRATO Nº 018/2022/PGJ, MESES MAIO E JUNHO DE 2024.")</f>
        <v>ALUGUEL REF. AO IMÓVEL ONDE FUNCIONAM AS PROMOTORIAS DE JUSTIÇA DA COMARCA DE CRATEÚS, RELATIVO AO CONTRATO Nº 018/2022/PGJ, MESES MAIO E JUNHO DE 2024.</v>
      </c>
      <c r="F328" s="2" t="s">
        <v>116</v>
      </c>
      <c r="G328" s="5" t="str">
        <f>HYPERLINK("http://www8.mpce.mp.br/Empenhos/150501/NE/2024NE000488.pdf","2024NE000488")</f>
        <v>2024NE000488</v>
      </c>
      <c r="H328" s="6">
        <v>52000.2</v>
      </c>
      <c r="I328" s="7" t="s">
        <v>134</v>
      </c>
      <c r="J328" s="10" t="s">
        <v>135</v>
      </c>
      <c r="K328" t="str">
        <f>HYPERLINK("http://www8.mpce.mp.br/Empenhos/150501/NE/2024NE000261.pdf","2024NE000261")</f>
        <v>2024NE000261</v>
      </c>
      <c r="L328" s="13">
        <v>14000</v>
      </c>
      <c r="M328" t="s">
        <v>234</v>
      </c>
      <c r="N328">
        <v>29417319000107</v>
      </c>
    </row>
    <row r="329" spans="1:14" ht="51" x14ac:dyDescent="0.25">
      <c r="A329" s="12" t="s">
        <v>34</v>
      </c>
      <c r="B329" s="2" t="s">
        <v>503</v>
      </c>
      <c r="C329" s="3" t="str">
        <f>HYPERLINK("https://transparencia-area-fim.mpce.mp.br/#/consulta/processo/pastadigital/092021000166790","09.2021.00016679-0")</f>
        <v>09.2021.00016679-0</v>
      </c>
      <c r="D329" s="4">
        <v>45425</v>
      </c>
      <c r="E329" s="16" t="str">
        <f>HYPERLINK("https://www8.mpce.mp.br/Empenhos/150001/Objeto/24-2022.pdf","ALUGUEL DO IMÓVEL ONDE FUNCIONA A SEDE DAS PROMOTORIAS DE JUSTIÇA DA COMARCA DE HORIZONTE, CONF. CONTRATO 024/2022, REF. MAIO E JUNHO/2024, POR ESTIMATIVA.")</f>
        <v>ALUGUEL DO IMÓVEL ONDE FUNCIONA A SEDE DAS PROMOTORIAS DE JUSTIÇA DA COMARCA DE HORIZONTE, CONF. CONTRATO 024/2022, REF. MAIO E JUNHO/2024, POR ESTIMATIVA.</v>
      </c>
      <c r="F329" s="2" t="s">
        <v>161</v>
      </c>
      <c r="G329" s="5" t="str">
        <f>HYPERLINK("http://www8.mpce.mp.br/Empenhos/150501/NE/2024NE000489.pdf","2024NE000489")</f>
        <v>2024NE000489</v>
      </c>
      <c r="H329" s="6">
        <v>4800</v>
      </c>
      <c r="I329" s="7" t="s">
        <v>209</v>
      </c>
      <c r="J329" s="10" t="s">
        <v>210</v>
      </c>
      <c r="K329" t="str">
        <f>HYPERLINK("http://www8.mpce.mp.br/Empenhos/150501/NE/2024NE000262.pdf","2024NE000262")</f>
        <v>2024NE000262</v>
      </c>
      <c r="L329" s="13">
        <v>493161.21</v>
      </c>
      <c r="M329" t="s">
        <v>72</v>
      </c>
      <c r="N329">
        <v>82845322000104</v>
      </c>
    </row>
    <row r="330" spans="1:14" ht="51" x14ac:dyDescent="0.25">
      <c r="A330" s="12" t="s">
        <v>9</v>
      </c>
      <c r="B330" s="2" t="s">
        <v>504</v>
      </c>
      <c r="C330" s="3" t="str">
        <f>HYPERLINK("https://transparencia-area-fim.mpce.mp.br/#/consulta/processo/pastadigital/092022000083885","09.2022.00008388-5")</f>
        <v>09.2022.00008388-5</v>
      </c>
      <c r="D330" s="4">
        <v>45425</v>
      </c>
      <c r="E330" s="16" t="str">
        <f>HYPERLINK("https://www8.mpce.mp.br/Empenhos/150001/Objeto/36-2023.pdf","ALUGUEL, REF. AO IMÓVEL ONDE FUNCIONAM AS PROMOTORIAS DE JUSTIÇA DA COMARCA DE SOLONÓPOLE, CONF. CONTRATO Nº 036/2023/PGJ,  DOS MESES MAIO E JUNHO DE 2024.")</f>
        <v>ALUGUEL, REF. AO IMÓVEL ONDE FUNCIONAM AS PROMOTORIAS DE JUSTIÇA DA COMARCA DE SOLONÓPOLE, CONF. CONTRATO Nº 036/2023/PGJ,  DOS MESES MAIO E JUNHO DE 2024.</v>
      </c>
      <c r="F330" s="2" t="s">
        <v>161</v>
      </c>
      <c r="G330" s="5" t="str">
        <f>HYPERLINK("http://www8.mpce.mp.br/Empenhos/150501/NE/2024NE000490.pdf","2024NE000490")</f>
        <v>2024NE000490</v>
      </c>
      <c r="H330" s="6">
        <v>7794.48</v>
      </c>
      <c r="I330" s="7" t="s">
        <v>188</v>
      </c>
      <c r="J330" s="10" t="s">
        <v>189</v>
      </c>
      <c r="K330" t="str">
        <f>HYPERLINK("http://www8.mpce.mp.br/Empenhos/150501/NE/2024NE000262.pdf","2024NE000262")</f>
        <v>2024NE000262</v>
      </c>
      <c r="L330" s="13">
        <v>493161.21</v>
      </c>
      <c r="M330" t="s">
        <v>72</v>
      </c>
      <c r="N330">
        <v>82845322000104</v>
      </c>
    </row>
    <row r="331" spans="1:14" ht="51" x14ac:dyDescent="0.25">
      <c r="A331" s="12" t="s">
        <v>34</v>
      </c>
      <c r="B331" s="2" t="s">
        <v>505</v>
      </c>
      <c r="C331" s="3" t="str">
        <f>HYPERLINK("https://transparencia-area-fim.mpce.mp.br/#/consulta/processo/pastadigital/092022000230870","09.2022.00023087-0")</f>
        <v>09.2022.00023087-0</v>
      </c>
      <c r="D331" s="4">
        <v>45425</v>
      </c>
      <c r="E331" s="16" t="str">
        <f>HYPERLINK("https://www8.mpce.mp.br/Empenhos/150001/Objeto/29-2022.pdf","ALUGUEL DO  IMÓVEL ONDE FUNCIONAM AS PROMOTORIAS DE JUSTIÇA DA COMARCA DE JUAZEIRO DO NORTE, RELATIVO AO CONTRATO 029/2022/PGJ, REF. AOS MESES MAIO E JUNHO DE 2024.")</f>
        <v>ALUGUEL DO  IMÓVEL ONDE FUNCIONAM AS PROMOTORIAS DE JUSTIÇA DA COMARCA DE JUAZEIRO DO NORTE, RELATIVO AO CONTRATO 029/2022/PGJ, REF. AOS MESES MAIO E JUNHO DE 2024.</v>
      </c>
      <c r="F331" s="2" t="s">
        <v>116</v>
      </c>
      <c r="G331" s="5" t="str">
        <f>HYPERLINK("http://www8.mpce.mp.br/Empenhos/150501/NE/2024NE000491.pdf","2024NE000491")</f>
        <v>2024NE000491</v>
      </c>
      <c r="H331" s="6">
        <v>132322.82</v>
      </c>
      <c r="I331" s="7" t="s">
        <v>132</v>
      </c>
      <c r="J331" s="10" t="s">
        <v>133</v>
      </c>
      <c r="K331" t="str">
        <f>HYPERLINK("http://www8.mpce.mp.br/Empenhos/150501/NE/2024NE000262.pdf","2024NE000262")</f>
        <v>2024NE000262</v>
      </c>
      <c r="L331" s="13">
        <v>493161.21</v>
      </c>
      <c r="M331" t="s">
        <v>72</v>
      </c>
      <c r="N331">
        <v>82845322000104</v>
      </c>
    </row>
    <row r="332" spans="1:14" ht="63.75" x14ac:dyDescent="0.25">
      <c r="A332" s="12" t="s">
        <v>34</v>
      </c>
      <c r="B332" s="2" t="s">
        <v>506</v>
      </c>
      <c r="C332" s="3" t="str">
        <f>HYPERLINK("https://transparencia-area-fim.mpce.mp.br/#/consulta/processo/pastadigital/092021000244282","09.2021.00024428-2")</f>
        <v>09.2021.00024428-2</v>
      </c>
      <c r="D332" s="4">
        <v>45425</v>
      </c>
      <c r="E332" s="16" t="str">
        <f>HYPERLINK("https://www8.mpce.mp.br/Empenhos/150001/Objeto/18-2022.pdf","IPTU DE 2024 REFERENTE A PARCELA ÚNICA DE 2024, DO IMÓVEL ONDE FUNCIONAM AS PROMOTORIAS DE JUSTIÇA DE CRATEÚS, LOCALIZADAS À RUA TOBIAS SOARES RESENDE Nº 192, BAIRRO MORADA DOS VENTOS, CRATEÚS, CONF. CONTRATO Nº 018/2022/PGJ.")</f>
        <v>IPTU DE 2024 REFERENTE A PARCELA ÚNICA DE 2024, DO IMÓVEL ONDE FUNCIONAM AS PROMOTORIAS DE JUSTIÇA DE CRATEÚS, LOCALIZADAS À RUA TOBIAS SOARES RESENDE Nº 192, BAIRRO MORADA DOS VENTOS, CRATEÚS, CONF. CONTRATO Nº 018/2022/PGJ.</v>
      </c>
      <c r="F332" s="2" t="s">
        <v>252</v>
      </c>
      <c r="G332" s="5" t="str">
        <f>HYPERLINK("http://www8.mpce.mp.br/Empenhos/150501/NE/2024NE000495.pdf","2024NE000495")</f>
        <v>2024NE000495</v>
      </c>
      <c r="H332" s="6">
        <v>4192.49</v>
      </c>
      <c r="I332" s="7" t="s">
        <v>134</v>
      </c>
      <c r="J332" s="10" t="s">
        <v>135</v>
      </c>
      <c r="K332" t="str">
        <f>HYPERLINK("http://www8.mpce.mp.br/Empenhos/150501/NE/2024NE000262.pdf","2024NE000262")</f>
        <v>2024NE000262</v>
      </c>
      <c r="L332" s="13">
        <v>493161.21</v>
      </c>
      <c r="M332" t="s">
        <v>72</v>
      </c>
      <c r="N332">
        <v>82845322000104</v>
      </c>
    </row>
    <row r="333" spans="1:14" ht="105" x14ac:dyDescent="0.25">
      <c r="A333" s="12" t="s">
        <v>9</v>
      </c>
      <c r="B333" s="2" t="s">
        <v>507</v>
      </c>
      <c r="C333" s="3" t="str">
        <f>HYPERLINK("http://www8.mpce.mp.br/Inexigibilidade/1045920194.pdf","10459/2019-4")</f>
        <v>10459/2019-4</v>
      </c>
      <c r="D333" s="4">
        <v>45426</v>
      </c>
      <c r="E333" s="17" t="str">
        <f>HYPERLINK("https://www8.mpce.mp.br/Empenhos/150001/Objeto/47-2019.pdf","REFERENTE A SOLICITAÇÃO PARA REALIZAR DE ESTUDO DE IMPACTO URBANÍSTICO - AMBIENTAL (SERVIÇOS TÉCNICO PROFISSIONAIS)  EM DECORRÊNCIA DAS OUTORGAS ONEROSAS EM VIAS"&amp;" DE DEFERIMENTO E/OU EFETIVAMENTE PELO MUNICÍPIO DE FORTALEZA - CONTRATO 047/2019 (INEXIGIBILIDADE), REF. AOS MESES DE MAIO A SETEMBRO, POR ESTIMATIVA.")</f>
        <v>REFERENTE A SOLICITAÇÃO PARA REALIZAR DE ESTUDO DE IMPACTO URBANÍSTICO - AMBIENTAL (SERVIÇOS TÉCNICO PROFISSIONAIS)  EM DECORRÊNCIA DAS OUTORGAS ONEROSAS EM VIAS DE DEFERIMENTO E/OU EFETIVAMENTE PELO MUNICÍPIO DE FORTALEZA - CONTRATO 047/2019 (INEXIGIBILIDADE), REF. AOS MESES DE MAIO A SETEMBRO, POR ESTIMATIVA.</v>
      </c>
      <c r="F333" s="2" t="s">
        <v>81</v>
      </c>
      <c r="G333" s="5" t="str">
        <f>HYPERLINK("http://www8.mpce.mp.br/Empenhos/150501/NE/2024NE000496.pdf","2024NE000496")</f>
        <v>2024NE000496</v>
      </c>
      <c r="H333" s="6">
        <v>162760</v>
      </c>
      <c r="I333" s="7" t="s">
        <v>254</v>
      </c>
      <c r="J333" s="10" t="s">
        <v>829</v>
      </c>
      <c r="K333" t="str">
        <f>HYPERLINK("http://www8.mpce.mp.br/Empenhos/150501/NE/2024NE000262.pdf","2024NE000262")</f>
        <v>2024NE000262</v>
      </c>
      <c r="L333" s="13">
        <v>493161.21</v>
      </c>
      <c r="M333" t="s">
        <v>72</v>
      </c>
      <c r="N333">
        <v>82845322000104</v>
      </c>
    </row>
    <row r="334" spans="1:14" ht="51" x14ac:dyDescent="0.25">
      <c r="A334" s="12" t="s">
        <v>34</v>
      </c>
      <c r="B334" s="2" t="s">
        <v>508</v>
      </c>
      <c r="C334" s="3" t="str">
        <f>HYPERLINK("http://www8.mpce.mp.br/Dispensa/6795020160.pdf","6795020160")</f>
        <v>6795020160</v>
      </c>
      <c r="D334" s="4">
        <v>45433</v>
      </c>
      <c r="E334" s="16" t="str">
        <f>HYPERLINK("https://www8.mpce.mp.br/Empenhos/150001/Objeto/08-2017.pdf","EMPENHO REF. REEMBOLSO DE IPTU DE IMÓVEL ONDE FUNCIONA SEDE DE PROMOTORIAS DE JUSTIÇA DA COMARCA DE JARDIM, CONF. CONTRATO 008/2017, REF. 2024 - PARCELA ÚNICA.")</f>
        <v>EMPENHO REF. REEMBOLSO DE IPTU DE IMÓVEL ONDE FUNCIONA SEDE DE PROMOTORIAS DE JUSTIÇA DA COMARCA DE JARDIM, CONF. CONTRATO 008/2017, REF. 2024 - PARCELA ÚNICA.</v>
      </c>
      <c r="F334" s="2" t="s">
        <v>223</v>
      </c>
      <c r="G334" s="5" t="str">
        <f>HYPERLINK("http://www8.mpce.mp.br/Empenhos/150501/NE/2024NE000503.pdf","2024NE000503")</f>
        <v>2024NE000503</v>
      </c>
      <c r="H334" s="6">
        <v>83.51</v>
      </c>
      <c r="I334" s="7" t="s">
        <v>219</v>
      </c>
      <c r="J334" s="10" t="s">
        <v>220</v>
      </c>
      <c r="K334" t="str">
        <f>HYPERLINK("http://www8.mpce.mp.br/Empenhos/150501/NE/2024NE000266.pdf","2024NE000266")</f>
        <v>2024NE000266</v>
      </c>
      <c r="L334" s="13">
        <v>32762.63</v>
      </c>
      <c r="M334" t="s">
        <v>215</v>
      </c>
      <c r="N334">
        <v>21134653000133</v>
      </c>
    </row>
    <row r="335" spans="1:14" ht="135" x14ac:dyDescent="0.25">
      <c r="A335" s="12" t="s">
        <v>9</v>
      </c>
      <c r="B335" s="2" t="s">
        <v>509</v>
      </c>
      <c r="C335" s="3" t="str">
        <f>HYPERLINK("https://transparencia-area-fim.mpce.mp.br/#/consulta/processo/pastadigital/092023000254844","09.2023.00025484-4")</f>
        <v>09.2023.00025484-4</v>
      </c>
      <c r="D335" s="4">
        <v>45434</v>
      </c>
      <c r="E335" s="17" t="str">
        <f>HYPERLINK("https://www8.mpce.mp.br/Empenhos/150001/Objeto/03-2024.pdf","EMPENHO REF. SERVIÇOS ESPECIALIZADOS DE EXTENSÃO DE GARANTIA DE EQUIPAMENTOS IBM, INCLUINDO O SERVIÇO DE MANUTENÇÃO TÉCNICO REMOTO, POR INEXIGIBILIDADE"&amp;" DE LICITAÇÃO, CONF. CONTRATO 003/2024, REF. EXERCÍCIO 2024, POR ESTIMATIVA.NOTA DE EMPENHO ELABORADA PELA COLEGA TÉCNICA MINISTERIAL GERMANA GONÇALVES DE SOUSA SALES, POSTERIORMENTE REVISADA E CONTABILIZADA POR EMANUEL FERREIRA LIMA,"&amp;" TÉCNICO MINISTERIAL, MAT. 168.356-1-7, NÚCLEO DE EMPENHO, FORTALEZA, 22.05.2024.")</f>
        <v>EMPENHO REF. SERVIÇOS ESPECIALIZADOS DE EXTENSÃO DE GARANTIA DE EQUIPAMENTOS IBM, INCLUINDO O SERVIÇO DE MANUTENÇÃO TÉCNICO REMOTO, POR INEXIGIBILIDADE DE LICITAÇÃO, CONF. CONTRATO 003/2024, REF. EXERCÍCIO 2024, POR ESTIMATIVA.NOTA DE EMPENHO ELABORADA PELA COLEGA TÉCNICA MINISTERIAL GERMANA GONÇALVES DE SOUSA SALES, POSTERIORMENTE REVISADA E CONTABILIZADA POR EMANUEL FERREIRA LIMA, TÉCNICO MINISTERIAL, MAT. 168.356-1-7, NÚCLEO DE EMPENHO, FORTALEZA, 22.05.2024.</v>
      </c>
      <c r="F335" s="2" t="s">
        <v>510</v>
      </c>
      <c r="G335" s="5" t="str">
        <f>HYPERLINK("http://www8.mpce.mp.br/Empenhos/150501/NE/2024NE000505.pdf","2024NE000505")</f>
        <v>2024NE000505</v>
      </c>
      <c r="H335" s="6">
        <v>36096.6</v>
      </c>
      <c r="I335" s="7" t="s">
        <v>511</v>
      </c>
      <c r="J335" s="10" t="s">
        <v>847</v>
      </c>
      <c r="K335" t="str">
        <f>HYPERLINK("http://www8.mpce.mp.br/Empenhos/150501/NE/2024NE000267.pdf","2024NE000267")</f>
        <v>2024NE000267</v>
      </c>
      <c r="L335" s="13">
        <v>2341.9699999999998</v>
      </c>
      <c r="M335" t="s">
        <v>211</v>
      </c>
      <c r="N335">
        <v>46950052391</v>
      </c>
    </row>
    <row r="336" spans="1:14" ht="63.75" x14ac:dyDescent="0.25">
      <c r="A336" s="12" t="s">
        <v>34</v>
      </c>
      <c r="B336" s="2" t="s">
        <v>412</v>
      </c>
      <c r="C336" s="3" t="str">
        <f>HYPERLINK("https://transparencia-area-fim.mpce.mp.br/#/consulta/processo/pastadigital/092024000073618","09.2024.00007361-8")</f>
        <v>09.2024.00007361-8</v>
      </c>
      <c r="D336" s="4">
        <v>45364</v>
      </c>
      <c r="E336" s="16" t="s">
        <v>413</v>
      </c>
      <c r="F336" s="2" t="s">
        <v>225</v>
      </c>
      <c r="G336" s="5" t="str">
        <f>HYPERLINK("http://www8.mpce.mp.br/Empenhos/150001/NE/2024NE000506.pdf","2024NE000506")</f>
        <v>2024NE000506</v>
      </c>
      <c r="H336" s="6">
        <v>6230.5</v>
      </c>
      <c r="I336" s="7" t="s">
        <v>414</v>
      </c>
      <c r="J336" s="10" t="s">
        <v>848</v>
      </c>
      <c r="K336" t="str">
        <f>HYPERLINK("http://www8.mpce.mp.br/Empenhos/150001/NE/2024NE000267.pdf","2024NE000267")</f>
        <v>2024NE000267</v>
      </c>
      <c r="L336">
        <v>785.6</v>
      </c>
      <c r="M336" t="s">
        <v>226</v>
      </c>
      <c r="N336">
        <v>2581711000122</v>
      </c>
    </row>
    <row r="337" spans="1:14" ht="67.5" x14ac:dyDescent="0.25">
      <c r="A337" s="12" t="s">
        <v>9</v>
      </c>
      <c r="B337" s="2" t="s">
        <v>512</v>
      </c>
      <c r="C337" s="3" t="str">
        <f>HYPERLINK("https://transparencia-area-fim.mpce.mp.br/#/consulta/processo/pastadigital/092023000254844","09.2023.00025484-4")</f>
        <v>09.2023.00025484-4</v>
      </c>
      <c r="D337" s="4">
        <v>45434</v>
      </c>
      <c r="E337" s="16" t="str">
        <f>HYPERLINK("https://www8.mpce.mp.br/Empenhos/150001/Objeto/03-2024.pdf","EMPENHO REF. SERVIÇOS ESPECIALIZADOS DE EXTENSÃO DE GARANTIA DE EQUIPAMENTOS IBM, INCLUINDO O SERVIÇO DE MANUTENÇÃO TÉCNICO REMOTO, POR INEXIGIBILIDADE DE LICITAÇÃO, CONF. CONTRATO 003/2024, REF. EXERCÍCIO 2024, POR ESTIMATIVA.")</f>
        <v>EMPENHO REF. SERVIÇOS ESPECIALIZADOS DE EXTENSÃO DE GARANTIA DE EQUIPAMENTOS IBM, INCLUINDO O SERVIÇO DE MANUTENÇÃO TÉCNICO REMOTO, POR INEXIGIBILIDADE DE LICITAÇÃO, CONF. CONTRATO 003/2024, REF. EXERCÍCIO 2024, POR ESTIMATIVA.</v>
      </c>
      <c r="F337" s="2" t="s">
        <v>510</v>
      </c>
      <c r="G337" s="5" t="str">
        <f>HYPERLINK("http://www8.mpce.mp.br/Empenhos/150501/NE/2024NE000506.pdf","2024NE000506")</f>
        <v>2024NE000506</v>
      </c>
      <c r="H337" s="6">
        <v>16670.400000000001</v>
      </c>
      <c r="I337" s="7" t="s">
        <v>511</v>
      </c>
      <c r="J337" s="10" t="s">
        <v>847</v>
      </c>
      <c r="K337" t="str">
        <f>HYPERLINK("http://www8.mpce.mp.br/Empenhos/150501/NE/2024NE000268.pdf","2024NE000268")</f>
        <v>2024NE000268</v>
      </c>
      <c r="L337" s="13">
        <v>6840</v>
      </c>
      <c r="M337" t="s">
        <v>215</v>
      </c>
      <c r="N337">
        <v>21134653000133</v>
      </c>
    </row>
    <row r="338" spans="1:14" ht="114.75" x14ac:dyDescent="0.25">
      <c r="A338" s="12" t="s">
        <v>9</v>
      </c>
      <c r="B338" s="2" t="s">
        <v>415</v>
      </c>
      <c r="C338" s="3" t="str">
        <f>HYPERLINK("https://transparencia-area-fim.mpce.mp.br/#/consulta/processo/pastadigital/092024000062332","09.2024.00006233-2")</f>
        <v>09.2024.00006233-2</v>
      </c>
      <c r="D338" s="4">
        <v>45364</v>
      </c>
      <c r="E338" s="16" t="s">
        <v>416</v>
      </c>
      <c r="F338" s="2" t="s">
        <v>373</v>
      </c>
      <c r="G338" s="5" t="str">
        <f>HYPERLINK("http://www8.mpce.mp.br/Empenhos/150001/NE/2024NE000508.pdf","2024NE000508")</f>
        <v>2024NE000508</v>
      </c>
      <c r="H338" s="6">
        <v>5400</v>
      </c>
      <c r="I338" s="7" t="s">
        <v>417</v>
      </c>
      <c r="J338" s="10" t="s">
        <v>849</v>
      </c>
      <c r="K338" t="str">
        <f>HYPERLINK("http://www8.mpce.mp.br/Empenhos/150501/NE/2024NE000269.pdf","2024NE000269")</f>
        <v>2024NE000269</v>
      </c>
      <c r="L338" s="13">
        <v>4341.5600000000004</v>
      </c>
      <c r="M338" t="s">
        <v>232</v>
      </c>
      <c r="N338">
        <v>18904432391</v>
      </c>
    </row>
    <row r="339" spans="1:14" ht="51" x14ac:dyDescent="0.25">
      <c r="A339" s="12" t="s">
        <v>34</v>
      </c>
      <c r="B339" s="2" t="s">
        <v>513</v>
      </c>
      <c r="C339" s="3" t="str">
        <f>HYPERLINK("http://www8.mpce.mp.br/Dispensa/2150720189.pdf","21507/2018-9")</f>
        <v>21507/2018-9</v>
      </c>
      <c r="D339" s="4">
        <v>45435</v>
      </c>
      <c r="E339" s="16" t="str">
        <f>HYPERLINK("https://www8.mpce.mp.br/Empenhos/150001/Objeto/51-2019.pdf","EMPENHO REF. REEMBOLSO DE IPTU DE IMÓVEL ONDE FUNCIONA SEDE DE PROMOTORIAS DE JUSTIÇA DA COMARCA DE VIÇOSA DO CEARÁ, CONF. CONTRATO 051/2019, REF. 2024 - PARCELA ÚNICA.")</f>
        <v>EMPENHO REF. REEMBOLSO DE IPTU DE IMÓVEL ONDE FUNCIONA SEDE DE PROMOTORIAS DE JUSTIÇA DA COMARCA DE VIÇOSA DO CEARÁ, CONF. CONTRATO 051/2019, REF. 2024 - PARCELA ÚNICA.</v>
      </c>
      <c r="F339" s="2" t="s">
        <v>223</v>
      </c>
      <c r="G339" s="5" t="str">
        <f>HYPERLINK("http://www8.mpce.mp.br/Empenhos/150501/NE/2024NE000515.pdf","2024NE000515")</f>
        <v>2024NE000515</v>
      </c>
      <c r="H339" s="6">
        <v>170.18</v>
      </c>
      <c r="I339" s="7" t="s">
        <v>179</v>
      </c>
      <c r="J339" s="10" t="s">
        <v>180</v>
      </c>
      <c r="K339" t="str">
        <f>HYPERLINK("http://www8.mpce.mp.br/Empenhos/150501/NE/2024NE000270.pdf","2024NE000270")</f>
        <v>2024NE000270</v>
      </c>
      <c r="L339" s="13">
        <v>8150.28</v>
      </c>
      <c r="M339" t="s">
        <v>177</v>
      </c>
      <c r="N339">
        <v>2144832315</v>
      </c>
    </row>
    <row r="340" spans="1:14" ht="51" x14ac:dyDescent="0.25">
      <c r="A340" s="12" t="s">
        <v>34</v>
      </c>
      <c r="B340" s="2" t="s">
        <v>514</v>
      </c>
      <c r="C340" s="3" t="str">
        <f>HYPERLINK("http://www8.mpce.mp.br/Dispensa/3642820165.pdf","36428/2016-5")</f>
        <v>36428/2016-5</v>
      </c>
      <c r="D340" s="4">
        <v>45446</v>
      </c>
      <c r="E340" s="16" t="str">
        <f>HYPERLINK("https://www8.mpce.mp.br/Empenhos/150001/Objeto/26-2017.pdf","REEMBOLSO DE IPTU DE IMÓVEL ONDE FUNCIONA SEDE DE PROMOTORIAS DE JUSTIÇA DA COMARCA DE MARANGUAPE, CONF. CONTRATO 026/2017, REF. 2024-PARC. ÚNICA.")</f>
        <v>REEMBOLSO DE IPTU DE IMÓVEL ONDE FUNCIONA SEDE DE PROMOTORIAS DE JUSTIÇA DA COMARCA DE MARANGUAPE, CONF. CONTRATO 026/2017, REF. 2024-PARC. ÚNICA.</v>
      </c>
      <c r="F340" s="2" t="s">
        <v>223</v>
      </c>
      <c r="G340" s="5" t="str">
        <f>HYPERLINK("http://www8.mpce.mp.br/Empenhos/150501/NE/2024NE000523.pdf","2024NE000523")</f>
        <v>2024NE000523</v>
      </c>
      <c r="H340" s="6">
        <v>938.24</v>
      </c>
      <c r="I340" s="7" t="s">
        <v>205</v>
      </c>
      <c r="J340" s="10" t="s">
        <v>206</v>
      </c>
      <c r="K340" t="str">
        <f>HYPERLINK("http://www8.mpce.mp.br/Empenhos/150501/NE/2024NE000271.pdf","2024NE000271")</f>
        <v>2024NE000271</v>
      </c>
      <c r="L340" s="13">
        <v>5546.1</v>
      </c>
      <c r="M340" t="s">
        <v>144</v>
      </c>
      <c r="N340">
        <v>22588967000179</v>
      </c>
    </row>
    <row r="341" spans="1:14" ht="63.75" x14ac:dyDescent="0.25">
      <c r="A341" s="12" t="s">
        <v>34</v>
      </c>
      <c r="B341" s="2" t="s">
        <v>515</v>
      </c>
      <c r="C341" s="3" t="str">
        <f>HYPERLINK("https://transparencia-area-fim.mpce.mp.br/#/consulta/processo/pastadigital/092023000388810","09.2023.00038881-0")</f>
        <v>09.2023.00038881-0</v>
      </c>
      <c r="D341" s="4">
        <v>45447</v>
      </c>
      <c r="E341" s="16" t="str">
        <f>HYPERLINK("https://www8.mpce.mp.br/Empenhos/150001/Objeto/22-2024.pdf","EMPENHO REF. SERVIÇOS DE SOLUÇÃO EM NUVEM DE PROTEÇÃO, GESTÃO, AVALIAÇÃO DE POSTURA E CONECTIVIDADE PARA NUVEM, INCLUINDO IMPLANTAÇÃO, MONITORAMENTO E SUPORTE TÉCNICO, CONF. CONTRATO 022/2024, REF. ABR E MAI/2024.")</f>
        <v>EMPENHO REF. SERVIÇOS DE SOLUÇÃO EM NUVEM DE PROTEÇÃO, GESTÃO, AVALIAÇÃO DE POSTURA E CONECTIVIDADE PARA NUVEM, INCLUINDO IMPLANTAÇÃO, MONITORAMENTO E SUPORTE TÉCNICO, CONF. CONTRATO 022/2024, REF. ABR E MAI/2024.</v>
      </c>
      <c r="F341" s="2" t="s">
        <v>516</v>
      </c>
      <c r="G341" s="5" t="str">
        <f>HYPERLINK("http://www8.mpce.mp.br/Empenhos/150501/NE/2024NE000524.pdf","2024NE000524")</f>
        <v>2024NE000524</v>
      </c>
      <c r="H341" s="6">
        <v>71437.03</v>
      </c>
      <c r="I341" s="7" t="s">
        <v>244</v>
      </c>
      <c r="J341" s="10" t="s">
        <v>245</v>
      </c>
      <c r="K341" t="str">
        <f>HYPERLINK("http://www8.mpce.mp.br/Empenhos/150501/NE/2024NE000272.pdf","2024NE000272")</f>
        <v>2024NE000272</v>
      </c>
      <c r="L341" s="13">
        <v>1487.88</v>
      </c>
      <c r="M341" t="s">
        <v>144</v>
      </c>
      <c r="N341">
        <v>22588967000179</v>
      </c>
    </row>
    <row r="342" spans="1:14" ht="78.75" x14ac:dyDescent="0.25">
      <c r="A342" s="12" t="s">
        <v>34</v>
      </c>
      <c r="B342" s="2" t="s">
        <v>418</v>
      </c>
      <c r="C342" s="3" t="str">
        <f>HYPERLINK("https://transparencia-area-fim.mpce.mp.br/#/consulta/processo/pastadigital/092023000403493","09.2023.00040349-3")</f>
        <v>09.2023.00040349-3</v>
      </c>
      <c r="D342" s="4">
        <v>45369</v>
      </c>
      <c r="E342" s="16" t="s">
        <v>419</v>
      </c>
      <c r="F342" s="2" t="s">
        <v>420</v>
      </c>
      <c r="G342" s="5" t="str">
        <f>HYPERLINK("http://www8.mpce.mp.br/Empenhos/150001/NE/2024NE000528.pdf","2024NE000528")</f>
        <v>2024NE000528</v>
      </c>
      <c r="H342" s="6">
        <v>3479</v>
      </c>
      <c r="I342" s="7" t="s">
        <v>421</v>
      </c>
      <c r="J342" s="10" t="s">
        <v>850</v>
      </c>
      <c r="K342" t="str">
        <f>HYPERLINK("http://www8.mpce.mp.br/Empenhos/150501/NE/2024NE000273.pdf","2024NE000273")</f>
        <v>2024NE000273</v>
      </c>
      <c r="L342">
        <v>680.03</v>
      </c>
      <c r="M342" t="s">
        <v>219</v>
      </c>
      <c r="N342">
        <v>20941439372</v>
      </c>
    </row>
    <row r="343" spans="1:14" ht="120" x14ac:dyDescent="0.25">
      <c r="A343" s="12" t="s">
        <v>9</v>
      </c>
      <c r="B343" s="2" t="s">
        <v>422</v>
      </c>
      <c r="C343" s="3" t="str">
        <f>HYPERLINK("https://transparencia-area-fim.mpce.mp.br/#/consulta/processo/pastadigital/092024000026236","09.2024.00002623-6")</f>
        <v>09.2024.00002623-6</v>
      </c>
      <c r="D343" s="4">
        <v>45369</v>
      </c>
      <c r="E343" s="17" t="str">
        <f>HYPERLINK("https://www8.mpce.mp.br/Empenhos/150001/Objeto/18-2024.pdf","FORNECIMENTO DE VALES-TRANSPORTES URBANOS E METROPOLITANOS, EM FAVOR DE 08 SERVIDORES DESTE MPCE, CONF. CONTRATO 018/2024, REF."&amp;" ABR A DEZ/2024, POR ESTIMATIVA.SERVIDORES CONTEMPLADOS:1. ELCIANE NARCÍSIO PINHEIRO;2. FRANCISCO ÍCARO LOPES DA SILVA;"&amp;"3. ISRAEL ALENCAR DE ANDRADE; 4. JOSÉ ANDRÉ BARRETO JÚNIOR;5. JULIANA RIBEIRO LINS;6. "&amp;"KLAYLTON DA SILVA LIMA;7. LORENA SARAIVA SILVA;8. WILLIA SOARES LOPES.")</f>
        <v>FORNECIMENTO DE VALES-TRANSPORTES URBANOS E METROPOLITANOS, EM FAVOR DE 08 SERVIDORES DESTE MPCE, CONF. CONTRATO 018/2024, REF. ABR A DEZ/2024, POR ESTIMATIVA.SERVIDORES CONTEMPLADOS:1. ELCIANE NARCÍSIO PINHEIRO;2. FRANCISCO ÍCARO LOPES DA SILVA;3. ISRAEL ALENCAR DE ANDRADE; 4. JOSÉ ANDRÉ BARRETO JÚNIOR;5. JULIANA RIBEIRO LINS;6. KLAYLTON DA SILVA LIMA;7. LORENA SARAIVA SILVA;8. WILLIA SOARES LOPES.</v>
      </c>
      <c r="F343" s="2" t="s">
        <v>423</v>
      </c>
      <c r="G343" s="5" t="str">
        <f>HYPERLINK("http://www8.mpce.mp.br/Empenhos/150001/NE/2024NE000529.pdf","2024NE000529")</f>
        <v>2024NE000529</v>
      </c>
      <c r="H343" s="6">
        <v>31055</v>
      </c>
      <c r="I343" s="7" t="s">
        <v>424</v>
      </c>
      <c r="J343" s="10" t="s">
        <v>851</v>
      </c>
      <c r="K343" t="str">
        <f>HYPERLINK("http://www8.mpce.mp.br/Empenhos/150501/NE/2024NE000274.pdf","2024NE000274")</f>
        <v>2024NE000274</v>
      </c>
      <c r="L343" s="13">
        <v>1640.35</v>
      </c>
      <c r="M343" t="s">
        <v>144</v>
      </c>
      <c r="N343">
        <v>22588967000179</v>
      </c>
    </row>
    <row r="344" spans="1:14" ht="45" x14ac:dyDescent="0.25">
      <c r="A344" s="12" t="s">
        <v>34</v>
      </c>
      <c r="B344" s="2" t="s">
        <v>517</v>
      </c>
      <c r="C344" s="3" t="str">
        <f>HYPERLINK("https://transparencia-area-fim.mpce.mp.br/#/consulta/processo/pastadigital/092022000343795","09.2022.00034379-5")</f>
        <v>09.2022.00034379-5</v>
      </c>
      <c r="D344" s="4">
        <v>45449</v>
      </c>
      <c r="E344" s="16" t="str">
        <f>HYPERLINK("https://www8.mpce.mp.br/Empenhos/150001/Objeto/25-2023.pdf","REF. A ALUGUEL DAS PROMOTORIAS DE JUSTIÇA DA COMARCA DE CANINDÉ, REF. AO MÊS DE JULHO, CONF. CONTRATO DE LOCAÇÃO: 025/2023/PGJ.")</f>
        <v>REF. A ALUGUEL DAS PROMOTORIAS DE JUSTIÇA DA COMARCA DE CANINDÉ, REF. AO MÊS DE JULHO, CONF. CONTRATO DE LOCAÇÃO: 025/2023/PGJ.</v>
      </c>
      <c r="F344" s="2" t="s">
        <v>116</v>
      </c>
      <c r="G344" s="5" t="str">
        <f>HYPERLINK("http://www8.mpce.mp.br/Empenhos/150501/NE/2024NE000534.pdf","2024NE000534")</f>
        <v>2024NE000534</v>
      </c>
      <c r="H344" s="6">
        <v>14000</v>
      </c>
      <c r="I344" s="7" t="s">
        <v>234</v>
      </c>
      <c r="J344" s="10" t="s">
        <v>235</v>
      </c>
      <c r="K344" t="str">
        <f>HYPERLINK("http://www8.mpce.mp.br/Empenhos/150501/NE/2024NE000275.pdf","2024NE000275")</f>
        <v>2024NE000275</v>
      </c>
      <c r="L344">
        <v>462.49</v>
      </c>
      <c r="M344" t="s">
        <v>144</v>
      </c>
      <c r="N344">
        <v>22588967000179</v>
      </c>
    </row>
    <row r="345" spans="1:14" ht="38.25" x14ac:dyDescent="0.25">
      <c r="A345" s="12" t="s">
        <v>34</v>
      </c>
      <c r="B345" s="2" t="s">
        <v>518</v>
      </c>
      <c r="C345" s="3" t="str">
        <f>HYPERLINK("https://transparencia-area-fim.mpce.mp.br/#/consulta/processo/pastadigital/092022000343840","09.2022.00034384-0")</f>
        <v>09.2022.00034384-0</v>
      </c>
      <c r="D345" s="4">
        <v>45450</v>
      </c>
      <c r="E345" s="16" t="str">
        <f>HYPERLINK("https://www8.mpce.mp.br/Empenhos/150001/Objeto/11-2023.pdf","LOCAÇÃO DE IMÓVEL DAS PROMOTORIAS DE JUSTIÇA DE SANTA QUITÉRIA, REF. AO MÊS DE JULHO, CONF. CONTRATO Nº 011/2023.")</f>
        <v>LOCAÇÃO DE IMÓVEL DAS PROMOTORIAS DE JUSTIÇA DE SANTA QUITÉRIA, REF. AO MÊS DE JULHO, CONF. CONTRATO Nº 011/2023.</v>
      </c>
      <c r="F345" s="2" t="s">
        <v>116</v>
      </c>
      <c r="G345" s="5" t="str">
        <f>HYPERLINK("http://www8.mpce.mp.br/Empenhos/150501/NE/2024NE000535.pdf","2024NE000535")</f>
        <v>2024NE000535</v>
      </c>
      <c r="H345" s="6">
        <v>13200</v>
      </c>
      <c r="I345" s="7" t="s">
        <v>238</v>
      </c>
      <c r="J345" s="10" t="s">
        <v>239</v>
      </c>
      <c r="K345" t="str">
        <f>HYPERLINK("http://www8.mpce.mp.br/Empenhos/150501/NE/2024NE000276.pdf","2024NE000276")</f>
        <v>2024NE000276</v>
      </c>
      <c r="L345" s="13">
        <v>5518.15</v>
      </c>
      <c r="M345" t="s">
        <v>205</v>
      </c>
      <c r="N345">
        <v>34123367852</v>
      </c>
    </row>
    <row r="346" spans="1:14" ht="51" x14ac:dyDescent="0.25">
      <c r="A346" s="12" t="s">
        <v>34</v>
      </c>
      <c r="B346" s="2" t="s">
        <v>519</v>
      </c>
      <c r="C346" s="3" t="str">
        <f>HYPERLINK("https://transparencia-area-fim.mpce.mp.br/#/consulta/processo/pastadigital/092022000343818","09.2022.00034381-8")</f>
        <v>09.2022.00034381-8</v>
      </c>
      <c r="D346" s="4">
        <v>45449</v>
      </c>
      <c r="E346" s="16" t="str">
        <f>HYPERLINK("https://www8.mpce.mp.br/Empenhos/150001/Objeto/24-2023.pdf","EMPENHO DO ALUGUEL DO MÊS DE JULHO DE 2024, DO IMÓVEL ONDE FUNCIONAM AS PROMOTORIAS DE JUSTIÇA DA COMARCA DE ITAPIPOCA, CONF. CONTRATO DE LOCAÇÃO: 024/2023/PGJ.")</f>
        <v>EMPENHO DO ALUGUEL DO MÊS DE JULHO DE 2024, DO IMÓVEL ONDE FUNCIONAM AS PROMOTORIAS DE JUSTIÇA DA COMARCA DE ITAPIPOCA, CONF. CONTRATO DE LOCAÇÃO: 024/2023/PGJ.</v>
      </c>
      <c r="F346" s="2" t="s">
        <v>116</v>
      </c>
      <c r="G346" s="5" t="str">
        <f>HYPERLINK("http://www8.mpce.mp.br/Empenhos/150501/NE/2024NE000536.pdf","2024NE000536")</f>
        <v>2024NE000536</v>
      </c>
      <c r="H346" s="6">
        <v>18000</v>
      </c>
      <c r="I346" s="7" t="s">
        <v>240</v>
      </c>
      <c r="J346" s="10" t="s">
        <v>241</v>
      </c>
      <c r="K346" t="str">
        <f>HYPERLINK("http://www8.mpce.mp.br/Empenhos/150501/NE/2024NE000277.pdf","2024NE000277")</f>
        <v>2024NE000277</v>
      </c>
      <c r="L346" s="13">
        <v>5400</v>
      </c>
      <c r="M346" t="s">
        <v>156</v>
      </c>
      <c r="N346">
        <v>33457311000133</v>
      </c>
    </row>
    <row r="347" spans="1:14" ht="51" x14ac:dyDescent="0.25">
      <c r="A347" s="12" t="s">
        <v>34</v>
      </c>
      <c r="B347" s="2" t="s">
        <v>520</v>
      </c>
      <c r="C347" s="3" t="str">
        <f>HYPERLINK("https://transparencia-area-fim.mpce.mp.br/#/consulta/processo/pastadigital/092022000343751","09.2022.00034375-1")</f>
        <v>09.2022.00034375-1</v>
      </c>
      <c r="D347" s="4">
        <v>45449</v>
      </c>
      <c r="E347" s="16" t="str">
        <f>HYPERLINK("https://www8.mpce.mp.br/Empenhos/150001/Objeto/08-2023.pdf","EMPENHO DO ALUGUEL DOS MÊS DE JULHO DE 2024, DO IMÓVEL ONDE FUNCIONAM AS PROMOTORIAS DE JUSTIÇA DA COMARCA DE QUIXERAMOBIM, CONF. CONTRATO DE LOCAÇÃO: 008/2023/PGJ.")</f>
        <v>EMPENHO DO ALUGUEL DOS MÊS DE JULHO DE 2024, DO IMÓVEL ONDE FUNCIONAM AS PROMOTORIAS DE JUSTIÇA DA COMARCA DE QUIXERAMOBIM, CONF. CONTRATO DE LOCAÇÃO: 008/2023/PGJ.</v>
      </c>
      <c r="F347" s="2" t="s">
        <v>116</v>
      </c>
      <c r="G347" s="5" t="str">
        <f>HYPERLINK("http://www8.mpce.mp.br/Empenhos/150501/NE/2024NE000537.pdf","2024NE000537")</f>
        <v>2024NE000537</v>
      </c>
      <c r="H347" s="6">
        <v>14180</v>
      </c>
      <c r="I347" s="7" t="s">
        <v>129</v>
      </c>
      <c r="J347" s="10" t="s">
        <v>130</v>
      </c>
      <c r="K347" t="str">
        <f>HYPERLINK("http://www8.mpce.mp.br/Empenhos/150501/NE/2024NE000278.pdf","2024NE000278")</f>
        <v>2024NE000278</v>
      </c>
      <c r="L347" s="13">
        <v>2935.71</v>
      </c>
      <c r="M347" t="s">
        <v>179</v>
      </c>
      <c r="N347">
        <v>77748638349</v>
      </c>
    </row>
    <row r="348" spans="1:14" ht="51" x14ac:dyDescent="0.25">
      <c r="A348" s="12" t="s">
        <v>34</v>
      </c>
      <c r="B348" s="2" t="s">
        <v>521</v>
      </c>
      <c r="C348" s="3" t="str">
        <f>HYPERLINK("https://transparencia-area-fim.mpce.mp.br/#/consulta/processo/pastadigital/092022000343829","09.2022.00034382-9")</f>
        <v>09.2022.00034382-9</v>
      </c>
      <c r="D348" s="4">
        <v>45449</v>
      </c>
      <c r="E348" s="16" t="str">
        <f>HYPERLINK("https://www8.mpce.mp.br/Empenhos/150001/Objeto/10-2023.pdf","EMPENHO DO ALUGUEL DO MÊS DE JULHO DE 2024, REF. AO IMÓVEL ONDE FUNCIONAM AS PROMOTORIAS DE JUSTIÇA DA COMARCA DE ITAPAJÉ, CONF. CONTRATO DE LOCAÇÃO: 010/2023/PGJ.")</f>
        <v>EMPENHO DO ALUGUEL DO MÊS DE JULHO DE 2024, REF. AO IMÓVEL ONDE FUNCIONAM AS PROMOTORIAS DE JUSTIÇA DA COMARCA DE ITAPAJÉ, CONF. CONTRATO DE LOCAÇÃO: 010/2023/PGJ.</v>
      </c>
      <c r="F348" s="2" t="s">
        <v>116</v>
      </c>
      <c r="G348" s="5" t="str">
        <f>HYPERLINK("http://www8.mpce.mp.br/Empenhos/150501/NE/2024NE000538.pdf","2024NE000538")</f>
        <v>2024NE000538</v>
      </c>
      <c r="H348" s="6">
        <v>13612</v>
      </c>
      <c r="I348" s="7" t="s">
        <v>129</v>
      </c>
      <c r="J348" s="10" t="s">
        <v>130</v>
      </c>
      <c r="K348" t="str">
        <f>HYPERLINK("http://www8.mpce.mp.br/Empenhos/150501/NE/2024NE000280.pdf","2024NE000280")</f>
        <v>2024NE000280</v>
      </c>
      <c r="L348">
        <v>800</v>
      </c>
      <c r="M348" t="s">
        <v>197</v>
      </c>
      <c r="N348">
        <v>19556292349</v>
      </c>
    </row>
    <row r="349" spans="1:14" ht="51" x14ac:dyDescent="0.25">
      <c r="A349" s="12" t="s">
        <v>34</v>
      </c>
      <c r="B349" s="2" t="s">
        <v>522</v>
      </c>
      <c r="C349" s="3" t="str">
        <f>HYPERLINK("https://transparencia-area-fim.mpce.mp.br/#/consulta/processo/pastadigital/092022000230870","09.2022.00023087-0")</f>
        <v>09.2022.00023087-0</v>
      </c>
      <c r="D349" s="4">
        <v>45449</v>
      </c>
      <c r="E349" s="16" t="str">
        <f>HYPERLINK("https://www8.mpce.mp.br/Empenhos/150001/Objeto/29-2022.pdf","EMPENHO DO ALUGUEL DO MÊS DE JULHO DE 2024, REF. AO IMÓVEL ONDE FUNCIONAM AS PROMOTORIAS DE JUSTIÇA DA COMARCA DE JUAZEIRO DO NORTE, CONF. CONTRATO DE LOCAÇÃO: 029/2022/PGJ.")</f>
        <v>EMPENHO DO ALUGUEL DO MÊS DE JULHO DE 2024, REF. AO IMÓVEL ONDE FUNCIONAM AS PROMOTORIAS DE JUSTIÇA DA COMARCA DE JUAZEIRO DO NORTE, CONF. CONTRATO DE LOCAÇÃO: 029/2022/PGJ.</v>
      </c>
      <c r="F349" s="2" t="s">
        <v>116</v>
      </c>
      <c r="G349" s="5" t="str">
        <f>HYPERLINK("http://www8.mpce.mp.br/Empenhos/150501/NE/2024NE000539.pdf","2024NE000539")</f>
        <v>2024NE000539</v>
      </c>
      <c r="H349" s="6">
        <v>66161.41</v>
      </c>
      <c r="I349" s="7" t="s">
        <v>132</v>
      </c>
      <c r="J349" s="10" t="s">
        <v>133</v>
      </c>
      <c r="K349" t="str">
        <f>HYPERLINK("http://www8.mpce.mp.br/Empenhos/150501/NE/2024NE000281.pdf","2024NE000281")</f>
        <v>2024NE000281</v>
      </c>
      <c r="L349" s="13">
        <v>1200</v>
      </c>
      <c r="M349" t="s">
        <v>182</v>
      </c>
      <c r="N349">
        <v>31014895391</v>
      </c>
    </row>
    <row r="350" spans="1:14" ht="51" x14ac:dyDescent="0.25">
      <c r="A350" s="12" t="s">
        <v>34</v>
      </c>
      <c r="B350" s="2" t="s">
        <v>523</v>
      </c>
      <c r="C350" s="3" t="str">
        <f>HYPERLINK("https://transparencia-area-fim.mpce.mp.br/#/consulta/processo/pastadigital/092021000244282","09.2021.00024428-2")</f>
        <v>09.2021.00024428-2</v>
      </c>
      <c r="D350" s="4">
        <v>45449</v>
      </c>
      <c r="E350" s="16" t="str">
        <f>HYPERLINK("https://www8.mpce.mp.br/Empenhos/150001/Objeto/18-2022.pdf","EMPENHO DO ALUGUEL DO MÊS DE JULHO DE 2024, REF. AO IMÓVEL ONDE FUNCIONAM AS PROMOTORIAS DE JUSTIÇA DA COMARCA DE CRATEÚS, CONF. CONTRATO DE LOCAÇÃO: 018/2022/PGJ.")</f>
        <v>EMPENHO DO ALUGUEL DO MÊS DE JULHO DE 2024, REF. AO IMÓVEL ONDE FUNCIONAM AS PROMOTORIAS DE JUSTIÇA DA COMARCA DE CRATEÚS, CONF. CONTRATO DE LOCAÇÃO: 018/2022/PGJ.</v>
      </c>
      <c r="F350" s="2" t="s">
        <v>116</v>
      </c>
      <c r="G350" s="5" t="str">
        <f>HYPERLINK("http://www8.mpce.mp.br/Empenhos/150501/NE/2024NE000540.pdf","2024NE000540")</f>
        <v>2024NE000540</v>
      </c>
      <c r="H350" s="6">
        <v>26000.1</v>
      </c>
      <c r="I350" s="7" t="s">
        <v>134</v>
      </c>
      <c r="J350" s="10" t="s">
        <v>135</v>
      </c>
      <c r="K350" t="str">
        <f>HYPERLINK("http://www8.mpce.mp.br/Empenhos/150501/NE/2024NE000283.pdf","2024NE000283")</f>
        <v>2024NE000283</v>
      </c>
      <c r="L350" s="13">
        <v>2400</v>
      </c>
      <c r="M350" t="s">
        <v>209</v>
      </c>
      <c r="N350">
        <v>25876988391</v>
      </c>
    </row>
    <row r="351" spans="1:14" ht="51" x14ac:dyDescent="0.25">
      <c r="A351" s="12" t="s">
        <v>34</v>
      </c>
      <c r="B351" s="2" t="s">
        <v>524</v>
      </c>
      <c r="C351" s="3" t="str">
        <f>HYPERLINK("https://transparencia-area-fim.mpce.mp.br/#/consulta/processo/pastadigital/092022000081432","09.2022.00008143-2")</f>
        <v>09.2022.00008143-2</v>
      </c>
      <c r="D351" s="4">
        <v>45449</v>
      </c>
      <c r="E351" s="16" t="str">
        <f>HYPERLINK("https://www8.mpce.mp.br/Empenhos/150001/Objeto/16-2022.pdf","EMPENHO DO ALUGUEL DO MÊS DE JULHO DE 2024, REF. AO IMÓVEL ONDE FUNCIONAM AS PROMOTORIAS DE JUSTIÇA DA COMARCA DE BARBALHA, CONF. CONTRATO DE LOCAÇÃO: 016/2022/PGJ.")</f>
        <v>EMPENHO DO ALUGUEL DO MÊS DE JULHO DE 2024, REF. AO IMÓVEL ONDE FUNCIONAM AS PROMOTORIAS DE JUSTIÇA DA COMARCA DE BARBALHA, CONF. CONTRATO DE LOCAÇÃO: 016/2022/PGJ.</v>
      </c>
      <c r="F351" s="2" t="s">
        <v>116</v>
      </c>
      <c r="G351" s="5" t="str">
        <f>HYPERLINK("http://www8.mpce.mp.br/Empenhos/150501/NE/2024NE000541.pdf","2024NE000541")</f>
        <v>2024NE000541</v>
      </c>
      <c r="H351" s="6">
        <v>16434.259999999998</v>
      </c>
      <c r="I351" s="7" t="s">
        <v>132</v>
      </c>
      <c r="J351" s="10" t="s">
        <v>133</v>
      </c>
      <c r="K351" t="str">
        <f>HYPERLINK("http://www8.mpce.mp.br/Empenhos/150501/NE/2024NE000284.pdf","2024NE000284")</f>
        <v>2024NE000284</v>
      </c>
      <c r="L351" s="13">
        <v>1400</v>
      </c>
      <c r="M351" t="s">
        <v>173</v>
      </c>
      <c r="N351">
        <v>50591630320</v>
      </c>
    </row>
    <row r="352" spans="1:14" ht="51" x14ac:dyDescent="0.25">
      <c r="A352" s="12" t="s">
        <v>34</v>
      </c>
      <c r="B352" s="2" t="s">
        <v>525</v>
      </c>
      <c r="C352" s="3" t="str">
        <f>HYPERLINK("https://transparencia-area-fim.mpce.mp.br/#/consulta/processo/pastadigital/092021000244271","09.2021.00024427-1")</f>
        <v>09.2021.00024427-1</v>
      </c>
      <c r="D352" s="4">
        <v>45449</v>
      </c>
      <c r="E352" s="16" t="str">
        <f>HYPERLINK("https://www8.mpce.mp.br/Empenhos/150001/Objeto/17-2022.pdf","EMPENHO DO ALUGUEL DO MÊS DE JULHO DE 2024, REF. AO IMÓVEL ONDE FUNCIONAM AS PROMOTORIAS DE JUSTIÇA DA COMARCA DE TIANGUÁ, CONF. CONTRATO DE LOCAÇÃO: 017/2022/PGJ.")</f>
        <v>EMPENHO DO ALUGUEL DO MÊS DE JULHO DE 2024, REF. AO IMÓVEL ONDE FUNCIONAM AS PROMOTORIAS DE JUSTIÇA DA COMARCA DE TIANGUÁ, CONF. CONTRATO DE LOCAÇÃO: 017/2022/PGJ.</v>
      </c>
      <c r="F352" s="2" t="s">
        <v>116</v>
      </c>
      <c r="G352" s="5" t="str">
        <f>HYPERLINK("http://www8.mpce.mp.br/Empenhos/150501/NE/2024NE000542.pdf","2024NE000542")</f>
        <v>2024NE000542</v>
      </c>
      <c r="H352" s="6">
        <v>26000</v>
      </c>
      <c r="I352" s="7" t="s">
        <v>175</v>
      </c>
      <c r="J352" s="10" t="s">
        <v>176</v>
      </c>
      <c r="K352" t="str">
        <f>HYPERLINK("http://www8.mpce.mp.br/Empenhos/150501/NE/2024NE000285.pdf","2024NE000285")</f>
        <v>2024NE000285</v>
      </c>
      <c r="L352" s="13">
        <v>1651.15</v>
      </c>
      <c r="M352" t="s">
        <v>207</v>
      </c>
      <c r="N352">
        <v>50937197300</v>
      </c>
    </row>
    <row r="353" spans="1:14" ht="63.75" x14ac:dyDescent="0.25">
      <c r="A353" s="12" t="s">
        <v>34</v>
      </c>
      <c r="B353" s="2" t="s">
        <v>526</v>
      </c>
      <c r="C353" s="3" t="str">
        <f>HYPERLINK("https://transparencia-area-fim.mpce.mp.br/#/consulta/processo/pastadigital/092024000159002","09.2024.00015900-2")</f>
        <v>09.2024.00015900-2</v>
      </c>
      <c r="D353" s="4">
        <v>45449</v>
      </c>
      <c r="E353" s="16" t="str">
        <f>HYPERLINK("https://www8.mpce.mp.br/Empenhos/150001/Objeto/39-2024.pdf","EMPENHO REF. LOCAÇÃO DE NOBREAK DE 3 KVA, CONF. TERMO DE DEFERIMENTO DA CONTRATAÇÃO DIRETA (DISPENSA DE LICITAÇÃO) E CONTRATO 039/2024, REF. JUN (20 DIAS PROPORCIONAIS), JUL, AGO E SET/2024, POR ESTIMATIVA.")</f>
        <v>EMPENHO REF. LOCAÇÃO DE NOBREAK DE 3 KVA, CONF. TERMO DE DEFERIMENTO DA CONTRATAÇÃO DIRETA (DISPENSA DE LICITAÇÃO) E CONTRATO 039/2024, REF. JUN (20 DIAS PROPORCIONAIS), JUL, AGO E SET/2024, POR ESTIMATIVA.</v>
      </c>
      <c r="F353" s="2" t="s">
        <v>527</v>
      </c>
      <c r="G353" s="5" t="str">
        <f>HYPERLINK("http://www8.mpce.mp.br/Empenhos/150501/NE/2024NE000543.pdf","2024NE000543")</f>
        <v>2024NE000543</v>
      </c>
      <c r="H353" s="6">
        <v>33000</v>
      </c>
      <c r="I353" s="7" t="s">
        <v>528</v>
      </c>
      <c r="J353" s="10" t="s">
        <v>852</v>
      </c>
      <c r="K353" t="str">
        <f>HYPERLINK("http://www8.mpce.mp.br/Empenhos/150501/NE/2024NE000286.pdf","2024NE000286")</f>
        <v>2024NE000286</v>
      </c>
      <c r="L353" s="13">
        <v>2823.27</v>
      </c>
      <c r="M353" t="s">
        <v>193</v>
      </c>
      <c r="N353">
        <v>35165286215</v>
      </c>
    </row>
    <row r="354" spans="1:14" ht="51" x14ac:dyDescent="0.25">
      <c r="A354" s="12" t="s">
        <v>34</v>
      </c>
      <c r="B354" s="2" t="s">
        <v>529</v>
      </c>
      <c r="C354" s="3" t="str">
        <f>HYPERLINK("https://transparencia-area-fim.mpce.mp.br/#/consulta/processo/pastadigital/092021000244449","09.2021.00024444-9")</f>
        <v>09.2021.00024444-9</v>
      </c>
      <c r="D354" s="4">
        <v>45449</v>
      </c>
      <c r="E354" s="16" t="str">
        <f>HYPERLINK("https://www8.mpce.mp.br/Empenhos/150001/Objeto/12-2022.pdf","EMPENHO DO ALUGUEL DO MÊS DE JULHO DE 2024, REF. AO IMÓVEL ONDE FUNCIONAM AS PROMOTORIAS DE JUSTIÇA DA COMARCA DE RUSSAS, CONF. CONTRATO DE LOCAÇÃO: 012/2022/PGJ.")</f>
        <v>EMPENHO DO ALUGUEL DO MÊS DE JULHO DE 2024, REF. AO IMÓVEL ONDE FUNCIONAM AS PROMOTORIAS DE JUSTIÇA DA COMARCA DE RUSSAS, CONF. CONTRATO DE LOCAÇÃO: 012/2022/PGJ.</v>
      </c>
      <c r="F354" s="2" t="s">
        <v>116</v>
      </c>
      <c r="G354" s="5" t="str">
        <f>HYPERLINK("http://www8.mpce.mp.br/Empenhos/150501/NE/2024NE000544.pdf","2024NE000544")</f>
        <v>2024NE000544</v>
      </c>
      <c r="H354" s="6">
        <v>20900</v>
      </c>
      <c r="I354" s="7" t="s">
        <v>129</v>
      </c>
      <c r="J354" s="10" t="s">
        <v>130</v>
      </c>
      <c r="K354" t="str">
        <f>HYPERLINK("http://www8.mpce.mp.br/Empenhos/150501/NE/2024NE000287.pdf","2024NE000287")</f>
        <v>2024NE000287</v>
      </c>
      <c r="L354" s="13">
        <v>2000</v>
      </c>
      <c r="M354" t="s">
        <v>201</v>
      </c>
      <c r="N354">
        <v>7021062320</v>
      </c>
    </row>
    <row r="355" spans="1:14" ht="51" x14ac:dyDescent="0.25">
      <c r="A355" s="12" t="s">
        <v>34</v>
      </c>
      <c r="B355" s="2" t="s">
        <v>530</v>
      </c>
      <c r="C355" s="3" t="str">
        <f>HYPERLINK("https://transparencia-area-fim.mpce.mp.br/#/consulta/processo/pastadigital/092021000244582","09.2021.00024458-2")</f>
        <v>09.2021.00024458-2</v>
      </c>
      <c r="D355" s="4">
        <v>45449</v>
      </c>
      <c r="E355" s="16" t="str">
        <f>HYPERLINK("https://www8.mpce.mp.br/Empenhos/150001/Objeto/11-2022.pdf","EMPENHO DO ALUGUEL DO MÊS DE JULHO DE 2024, REF. AO IMÓVEL ONDE FUNCIONAM AS PROMOTORIAS DE JUSTIÇA DA COMARCA DE ARACATI, CONF. CONTRATO DE LOCAÇÃO: 011/2022/PGJ.")</f>
        <v>EMPENHO DO ALUGUEL DO MÊS DE JULHO DE 2024, REF. AO IMÓVEL ONDE FUNCIONAM AS PROMOTORIAS DE JUSTIÇA DA COMARCA DE ARACATI, CONF. CONTRATO DE LOCAÇÃO: 011/2022/PGJ.</v>
      </c>
      <c r="F355" s="2" t="s">
        <v>116</v>
      </c>
      <c r="G355" s="5" t="str">
        <f>HYPERLINK("http://www8.mpce.mp.br/Empenhos/150501/NE/2024NE000546.pdf","2024NE000546")</f>
        <v>2024NE000546</v>
      </c>
      <c r="H355" s="6">
        <v>18465</v>
      </c>
      <c r="I355" s="7" t="s">
        <v>171</v>
      </c>
      <c r="J355" s="10" t="s">
        <v>172</v>
      </c>
      <c r="K355" t="str">
        <f>HYPERLINK("http://www8.mpce.mp.br/Empenhos/150501/NE/2024NE000288.pdf","2024NE000288")</f>
        <v>2024NE000288</v>
      </c>
      <c r="L355" s="13">
        <v>1500</v>
      </c>
      <c r="M355" t="s">
        <v>191</v>
      </c>
      <c r="N355">
        <v>91495059391</v>
      </c>
    </row>
    <row r="356" spans="1:14" ht="51" x14ac:dyDescent="0.25">
      <c r="A356" s="12" t="s">
        <v>34</v>
      </c>
      <c r="B356" s="2" t="s">
        <v>531</v>
      </c>
      <c r="C356" s="3" t="str">
        <f>HYPERLINK("https://transparencia-area-fim.mpce.mp.br/#/consulta/processo/pastadigital/092021000244550","09.2021.00024455-0")</f>
        <v>09.2021.00024455-0</v>
      </c>
      <c r="D356" s="4">
        <v>45449</v>
      </c>
      <c r="E356" s="16" t="str">
        <f>HYPERLINK("https://www8.mpce.mp.br/Empenhos/150001/Objeto/10-2022.pdf","EMPENHO DO ALUGUEL DO MÊS DE JULHO DE2024, REF. AO IMÓVEL ONDE FUNCIONAM AS PROMOTORIAS DE JUSTIÇA DA COMARCA DE ICÓ, CONF. CONTRATO DE LOCAÇÃO: 010/2022/PGJ. ")</f>
        <v xml:space="preserve">EMPENHO DO ALUGUEL DO MÊS DE JULHO DE2024, REF. AO IMÓVEL ONDE FUNCIONAM AS PROMOTORIAS DE JUSTIÇA DA COMARCA DE ICÓ, CONF. CONTRATO DE LOCAÇÃO: 010/2022/PGJ. </v>
      </c>
      <c r="F356" s="2" t="s">
        <v>116</v>
      </c>
      <c r="G356" s="5" t="str">
        <f>HYPERLINK("http://www8.mpce.mp.br/Empenhos/150501/NE/2024NE000547.pdf","2024NE000547")</f>
        <v>2024NE000547</v>
      </c>
      <c r="H356" s="6">
        <v>13486.5</v>
      </c>
      <c r="I356" s="7" t="s">
        <v>402</v>
      </c>
      <c r="J356" s="10" t="s">
        <v>841</v>
      </c>
      <c r="K356" t="str">
        <f>HYPERLINK("http://www8.mpce.mp.br/Empenhos/150501/NE/2024NE000289.pdf","2024NE000289")</f>
        <v>2024NE000289</v>
      </c>
      <c r="L356" s="13">
        <v>2000</v>
      </c>
      <c r="M356" t="s">
        <v>229</v>
      </c>
      <c r="N356">
        <v>78214130387</v>
      </c>
    </row>
    <row r="357" spans="1:14" ht="56.25" x14ac:dyDescent="0.25">
      <c r="A357" s="12" t="s">
        <v>34</v>
      </c>
      <c r="B357" s="2" t="s">
        <v>532</v>
      </c>
      <c r="C357" s="3" t="str">
        <f>HYPERLINK("https://transparencia-area-fim.mpce.mp.br/#/consulta/processo/pastadigital/092021000064195","09.2021.00006419-5")</f>
        <v>09.2021.00006419-5</v>
      </c>
      <c r="D357" s="4">
        <v>45449</v>
      </c>
      <c r="E357" s="16" t="str">
        <f>HYPERLINK("https://www8.mpce.mp.br/Empenhos/150001/Objeto/41-2021.pdf","ALUGUEL DE IMÓVEL ONDE FUNCIONA SEDE DE PROMOTORIAS DE JUSTIÇA DA COMARCA DE QUIXADÁ, CONF. CONTRATO 041/2021, REF. JUL/2024, POR ESTIMATIVA.")</f>
        <v>ALUGUEL DE IMÓVEL ONDE FUNCIONA SEDE DE PROMOTORIAS DE JUSTIÇA DA COMARCA DE QUIXADÁ, CONF. CONTRATO 041/2021, REF. JUL/2024, POR ESTIMATIVA.</v>
      </c>
      <c r="F357" s="2" t="s">
        <v>116</v>
      </c>
      <c r="G357" s="5" t="str">
        <f>HYPERLINK("http://www8.mpce.mp.br/Empenhos/150501/NE/2024NE000548.pdf","2024NE000548")</f>
        <v>2024NE000548</v>
      </c>
      <c r="H357" s="6">
        <v>18900</v>
      </c>
      <c r="I357" s="7" t="s">
        <v>129</v>
      </c>
      <c r="J357" s="10" t="s">
        <v>130</v>
      </c>
      <c r="K357" t="str">
        <f>HYPERLINK("http://www8.mpce.mp.br/Empenhos/150501/NE/2024NE000290.pdf","2024NE000290")</f>
        <v>2024NE000290</v>
      </c>
      <c r="L357" s="13">
        <v>2500</v>
      </c>
      <c r="M357" t="s">
        <v>195</v>
      </c>
      <c r="N357">
        <v>7136315387</v>
      </c>
    </row>
    <row r="358" spans="1:14" ht="51" x14ac:dyDescent="0.25">
      <c r="A358" s="12" t="s">
        <v>34</v>
      </c>
      <c r="B358" s="2" t="s">
        <v>533</v>
      </c>
      <c r="C358" s="3" t="str">
        <f>HYPERLINK("https://transparencia-area-fim.mpce.mp.br/#/consulta/processo/pastadigital/092021000063220","09.2021.00006322-0")</f>
        <v>09.2021.00006322-0</v>
      </c>
      <c r="D358" s="4">
        <v>45449</v>
      </c>
      <c r="E358" s="16" t="str">
        <f>HYPERLINK("https://www8.mpce.mp.br/Empenhos/150001/Objeto/33-2021.pdf","EMPENHO REF. ALUGUEL DE IMÓVEL ONDE FUNCIONA SEDE DE PROMOTORIAS DE JUSTIÇA DA COMARCA DE SOBRAL, CONF. CONTRATO 033/2021, REF. JUL/2024, POR ESTIMATIVA.")</f>
        <v>EMPENHO REF. ALUGUEL DE IMÓVEL ONDE FUNCIONA SEDE DE PROMOTORIAS DE JUSTIÇA DA COMARCA DE SOBRAL, CONF. CONTRATO 033/2021, REF. JUL/2024, POR ESTIMATIVA.</v>
      </c>
      <c r="F358" s="2" t="s">
        <v>116</v>
      </c>
      <c r="G358" s="5" t="str">
        <f>HYPERLINK("http://www8.mpce.mp.br/Empenhos/150501/NE/2024NE000549.pdf","2024NE000549")</f>
        <v>2024NE000549</v>
      </c>
      <c r="H358" s="6">
        <v>33400.11</v>
      </c>
      <c r="I358" s="7" t="s">
        <v>134</v>
      </c>
      <c r="J358" s="10" t="s">
        <v>135</v>
      </c>
      <c r="K358" t="str">
        <f>HYPERLINK("http://www8.mpce.mp.br/Empenhos/150501/NE/2024NE000291.pdf","2024NE000291")</f>
        <v>2024NE000291</v>
      </c>
      <c r="L358" s="13">
        <v>3897.24</v>
      </c>
      <c r="M358" t="s">
        <v>188</v>
      </c>
      <c r="N358">
        <v>1728735335</v>
      </c>
    </row>
    <row r="359" spans="1:14" ht="63.75" x14ac:dyDescent="0.25">
      <c r="A359" s="12" t="s">
        <v>9</v>
      </c>
      <c r="B359" s="2" t="s">
        <v>534</v>
      </c>
      <c r="C359" s="3" t="str">
        <f>HYPERLINK("https://transparencia-area-fim.mpce.mp.br/#/consulta/processo/pastadigital/092024000122126","09.2024.00012212-6")</f>
        <v>09.2024.00012212-6</v>
      </c>
      <c r="D359" s="4">
        <v>45449</v>
      </c>
      <c r="E359" s="16" t="str">
        <f>HYPERLINK("https://www8.mpce.mp.br/Empenhos/150001/Objeto/34-2024.pdf","EMPENHO REF. TREINAMENTO IN COMPANY COM O TEMA: JORNADA DE LIDERANÇA - SERVIDORES, TURMAS 01 E 02, POR MEIO DE INEXIGIBILIDADE DE LICITAÇÃO, CONF. CONTRATO 034/2024 E ORDEM DE SERVIÇO 011/2024/SEGEP, REF. JUL/2024, POR ESTIMATIVA.")</f>
        <v>EMPENHO REF. TREINAMENTO IN COMPANY COM O TEMA: JORNADA DE LIDERANÇA - SERVIDORES, TURMAS 01 E 02, POR MEIO DE INEXIGIBILIDADE DE LICITAÇÃO, CONF. CONTRATO 034/2024 E ORDEM DE SERVIÇO 011/2024/SEGEP, REF. JUL/2024, POR ESTIMATIVA.</v>
      </c>
      <c r="F359" s="2" t="s">
        <v>373</v>
      </c>
      <c r="G359" s="5" t="str">
        <f>HYPERLINK("http://www8.mpce.mp.br/Empenhos/150501/NE/2024NE000550.pdf","2024NE000550")</f>
        <v>2024NE000550</v>
      </c>
      <c r="H359" s="6">
        <v>24300</v>
      </c>
      <c r="I359" s="7" t="s">
        <v>535</v>
      </c>
      <c r="J359" s="10" t="s">
        <v>853</v>
      </c>
      <c r="K359" t="str">
        <f>HYPERLINK("http://www8.mpce.mp.br/Empenhos/150501/NE/2024NE000292.pdf","2024NE000292")</f>
        <v>2024NE000292</v>
      </c>
      <c r="L359" s="13">
        <v>1550</v>
      </c>
      <c r="M359" t="s">
        <v>184</v>
      </c>
      <c r="N359">
        <v>84738480391</v>
      </c>
    </row>
    <row r="360" spans="1:14" ht="51" x14ac:dyDescent="0.25">
      <c r="A360" s="12" t="s">
        <v>34</v>
      </c>
      <c r="B360" s="2" t="s">
        <v>536</v>
      </c>
      <c r="C360" s="3" t="str">
        <f>HYPERLINK("https://transparencia-area-fim.mpce.mp.br/#/consulta/processo/pastadigital/092021000065217","09.2021.00006521-7")</f>
        <v>09.2021.00006521-7</v>
      </c>
      <c r="D360" s="4">
        <v>45450</v>
      </c>
      <c r="E360" s="16" t="str">
        <f>HYPERLINK("https://www8.mpce.mp.br/Empenhos/150001/Objeto/38-2021.pdf","EMPENHO DO ALUGUEL DO MÊS DE JULHO DE 2024, REF. AO IMÓVEL ONDE FUNCIONAM AS PROMOTORIAS DE JUSTIÇA DA COMARCA DE TAUÁ, CONF. CONTRATO DE LOCAÇÃO: 038/2021/PGJ.")</f>
        <v>EMPENHO DO ALUGUEL DO MÊS DE JULHO DE 2024, REF. AO IMÓVEL ONDE FUNCIONAM AS PROMOTORIAS DE JUSTIÇA DA COMARCA DE TAUÁ, CONF. CONTRATO DE LOCAÇÃO: 038/2021/PGJ.</v>
      </c>
      <c r="F360" s="2" t="s">
        <v>116</v>
      </c>
      <c r="G360" s="5" t="str">
        <f>HYPERLINK("http://www8.mpce.mp.br/Empenhos/150501/NE/2024NE000551.pdf","2024NE000551")</f>
        <v>2024NE000551</v>
      </c>
      <c r="H360" s="6">
        <v>18000</v>
      </c>
      <c r="I360" s="7" t="s">
        <v>146</v>
      </c>
      <c r="J360" s="10" t="s">
        <v>147</v>
      </c>
      <c r="K360" t="str">
        <f>HYPERLINK("http://www8.mpce.mp.br/Empenhos/150501/NE/2024NE000293.pdf","2024NE000293")</f>
        <v>2024NE000293</v>
      </c>
      <c r="L360" s="13">
        <v>4000</v>
      </c>
      <c r="M360" t="s">
        <v>162</v>
      </c>
      <c r="N360">
        <v>19678451824</v>
      </c>
    </row>
    <row r="361" spans="1:14" ht="51" x14ac:dyDescent="0.25">
      <c r="A361" s="12" t="s">
        <v>34</v>
      </c>
      <c r="B361" s="2" t="s">
        <v>537</v>
      </c>
      <c r="C361" s="3" t="str">
        <f>HYPERLINK("http://www8.mpce.mp.br/Dispensa/1984020196.pdf","19840/2019-6")</f>
        <v>19840/2019-6</v>
      </c>
      <c r="D361" s="4">
        <v>45450</v>
      </c>
      <c r="E361" s="16" t="str">
        <f>HYPERLINK("https://www8.mpce.mp.br/Empenhos/150001/Objeto/48-2019.pdf","EMPENHO DO ALUGUEL DO MÊS DE JULHO DE 2024, REF. AO IMÓVEL ONDE FUNCIONAM AS PROMOTORIAS DE JUSTIÇA DA COMARCA DE CAUCAIA, CONF. CONTRATO DE LOCAÇÃO: 048/2019/PGJ.")</f>
        <v>EMPENHO DO ALUGUEL DO MÊS DE JULHO DE 2024, REF. AO IMÓVEL ONDE FUNCIONAM AS PROMOTORIAS DE JUSTIÇA DA COMARCA DE CAUCAIA, CONF. CONTRATO DE LOCAÇÃO: 048/2019/PGJ.</v>
      </c>
      <c r="F361" s="2" t="s">
        <v>116</v>
      </c>
      <c r="G361" s="5" t="str">
        <f>HYPERLINK("http://www8.mpce.mp.br/Empenhos/150501/NE/2024NE000552.pdf","2024NE000552")</f>
        <v>2024NE000552</v>
      </c>
      <c r="H361" s="6">
        <v>45512.77</v>
      </c>
      <c r="I361" s="7" t="s">
        <v>151</v>
      </c>
      <c r="J361" s="10" t="s">
        <v>152</v>
      </c>
      <c r="K361" t="str">
        <f>HYPERLINK("http://www8.mpce.mp.br/Empenhos/150501/NE/2024NE000294.pdf","2024NE000294")</f>
        <v>2024NE000294</v>
      </c>
      <c r="L361" s="13">
        <v>1306.7</v>
      </c>
      <c r="M361" t="s">
        <v>186</v>
      </c>
      <c r="N361">
        <v>43713017387</v>
      </c>
    </row>
    <row r="362" spans="1:14" ht="51" x14ac:dyDescent="0.25">
      <c r="A362" s="12" t="s">
        <v>34</v>
      </c>
      <c r="B362" s="2" t="s">
        <v>538</v>
      </c>
      <c r="C362" s="3" t="str">
        <f>HYPERLINK("https://transparencia-area-fim.mpce.mp.br/#/consulta/processo/pastadigital/092022000197876","09.2022.00019787-6")</f>
        <v>09.2022.00019787-6</v>
      </c>
      <c r="D362" s="4">
        <v>45450</v>
      </c>
      <c r="E362" s="16" t="str">
        <f>HYPERLINK("https://www8.mpce.mp.br/Empenhos/150001/Objeto/02-2023.pdf","EMPENHO DO ALUGUEL DO MÊS DE JULHO DE 2024, REF. AO IMÓVEL ONDE FUNCIONA O NÚCLEO DE MEDIAÇÃO COMUNITÁRIA DO BOM JARDIM, CONF. CONTRATO DE LOCAÇÃO: 002/2023/PGJ.")</f>
        <v>EMPENHO DO ALUGUEL DO MÊS DE JULHO DE 2024, REF. AO IMÓVEL ONDE FUNCIONA O NÚCLEO DE MEDIAÇÃO COMUNITÁRIA DO BOM JARDIM, CONF. CONTRATO DE LOCAÇÃO: 002/2023/PGJ.</v>
      </c>
      <c r="F362" s="2" t="s">
        <v>116</v>
      </c>
      <c r="G362" s="5" t="str">
        <f>HYPERLINK("http://www8.mpce.mp.br/Empenhos/150501/NE/2024NE000553.pdf","2024NE000553")</f>
        <v>2024NE000553</v>
      </c>
      <c r="H362" s="6">
        <v>5600</v>
      </c>
      <c r="I362" s="7" t="s">
        <v>123</v>
      </c>
      <c r="J362" s="10" t="s">
        <v>124</v>
      </c>
      <c r="K362" t="str">
        <f>HYPERLINK("http://www8.mpce.mp.br/Empenhos/150501/NE/2024NE000295.pdf","2024NE000295")</f>
        <v>2024NE000295</v>
      </c>
      <c r="L362" s="13">
        <v>2188.0100000000002</v>
      </c>
      <c r="M362" t="s">
        <v>236</v>
      </c>
      <c r="N362">
        <v>49090674349</v>
      </c>
    </row>
    <row r="363" spans="1:14" ht="51" x14ac:dyDescent="0.25">
      <c r="A363" s="12" t="s">
        <v>34</v>
      </c>
      <c r="B363" s="2" t="s">
        <v>539</v>
      </c>
      <c r="C363" s="3" t="str">
        <f>HYPERLINK("https://transparencia-area-fim.mpce.mp.br/#/consulta/processo/pastadigital/092024000175602","09.2024.00017560-2")</f>
        <v>09.2024.00017560-2</v>
      </c>
      <c r="D363" s="4">
        <v>45450</v>
      </c>
      <c r="E363" s="16" t="str">
        <f>HYPERLINK("https://www8.mpce.mp.br/Empenhos/150001/Objeto/16-2017.pdf","EMPENHO DO ALUGUEL DO MÊS DE JULHO DE 2024, REF. AO IMÓVEL ONDE FUNCIONAM AS PROMOTORIAS DE JUSTIÇA CRIMINAIS DE FORTALEZA, CONF. CONTRATO DE LOCAÇÃO: 016/2017/PGJ.")</f>
        <v>EMPENHO DO ALUGUEL DO MÊS DE JULHO DE 2024, REF. AO IMÓVEL ONDE FUNCIONAM AS PROMOTORIAS DE JUSTIÇA CRIMINAIS DE FORTALEZA, CONF. CONTRATO DE LOCAÇÃO: 016/2017/PGJ.</v>
      </c>
      <c r="F363" s="2" t="s">
        <v>116</v>
      </c>
      <c r="G363" s="5" t="str">
        <f>HYPERLINK("http://www8.mpce.mp.br/Empenhos/150501/NE/2024NE000554.pdf","2024NE000554")</f>
        <v>2024NE000554</v>
      </c>
      <c r="H363" s="6">
        <v>58910.97</v>
      </c>
      <c r="I363" s="7" t="s">
        <v>158</v>
      </c>
      <c r="J363" s="10" t="s">
        <v>159</v>
      </c>
      <c r="K363" t="str">
        <f>HYPERLINK("http://www8.mpce.mp.br/Empenhos/150501/NE/2024NE000296.pdf","2024NE000296")</f>
        <v>2024NE000296</v>
      </c>
      <c r="L363" s="13">
        <v>1431.35</v>
      </c>
      <c r="M363" t="s">
        <v>140</v>
      </c>
      <c r="N363">
        <v>15473585000134</v>
      </c>
    </row>
    <row r="364" spans="1:14" ht="38.25" x14ac:dyDescent="0.25">
      <c r="A364" s="12" t="s">
        <v>34</v>
      </c>
      <c r="B364" s="2" t="s">
        <v>540</v>
      </c>
      <c r="C364" s="3" t="str">
        <f>HYPERLINK("http://www8.mpce.mp.br/Dispensa/4793720162.pdf","4793720162")</f>
        <v>4793720162</v>
      </c>
      <c r="D364" s="4">
        <v>45450</v>
      </c>
      <c r="E364" s="16" t="str">
        <f>HYPERLINK("https://www8.mpce.mp.br/Empenhos/150001/Objeto/14-2017.pdf","EMPENHO DO ALUGUEL DO MÊS DE JULHO DE2024, REF. AO IMÓVEL ONDE FUNCIONA O ALMOXARIFADO E PATRIMÔNIO, CONF. CONTRATO DE LOCAÇÃO: 014/2017/PGJ.")</f>
        <v>EMPENHO DO ALUGUEL DO MÊS DE JULHO DE2024, REF. AO IMÓVEL ONDE FUNCIONA O ALMOXARIFADO E PATRIMÔNIO, CONF. CONTRATO DE LOCAÇÃO: 014/2017/PGJ.</v>
      </c>
      <c r="F364" s="2" t="s">
        <v>116</v>
      </c>
      <c r="G364" s="5" t="str">
        <f>HYPERLINK("http://www8.mpce.mp.br/Empenhos/150501/NE/2024NE000555.pdf","2024NE000555")</f>
        <v>2024NE000555</v>
      </c>
      <c r="H364" s="6">
        <v>22143.48</v>
      </c>
      <c r="I364" s="7" t="s">
        <v>153</v>
      </c>
      <c r="J364" s="10" t="s">
        <v>154</v>
      </c>
      <c r="K364" t="str">
        <f>HYPERLINK("http://www8.mpce.mp.br/Empenhos/150001/NE/2024NE000297.pdf","2024NE000297")</f>
        <v>2024NE000297</v>
      </c>
      <c r="L364" s="13">
        <v>24000</v>
      </c>
      <c r="M364" t="s">
        <v>374</v>
      </c>
      <c r="N364">
        <v>51871404000191</v>
      </c>
    </row>
    <row r="365" spans="1:14" ht="38.25" x14ac:dyDescent="0.25">
      <c r="A365" s="12" t="s">
        <v>9</v>
      </c>
      <c r="B365" s="2" t="s">
        <v>541</v>
      </c>
      <c r="C365" s="3" t="str">
        <f>HYPERLINK("https://transparencia-area-fim.mpce.mp.br/#/consulta/processo/pastadigital/092023000293915","09.2023.00029391-5")</f>
        <v>09.2023.00029391-5</v>
      </c>
      <c r="D365" s="4">
        <v>45450</v>
      </c>
      <c r="E365" s="16" t="str">
        <f>HYPERLINK("https://www8.mpce.mp.br/Empenhos/150001/Objeto/54-2023.pdf","EMPENHO DO ALUGUEL DO MÊS DE JULHO DE 2024, REF. AO IMÓVEL ONDE FUNCIONA O ALMOXARIFADO E PATRIMÔNIO, CONF. LOCAÇÃO: 054/2023/PGJ.")</f>
        <v>EMPENHO DO ALUGUEL DO MÊS DE JULHO DE 2024, REF. AO IMÓVEL ONDE FUNCIONA O ALMOXARIFADO E PATRIMÔNIO, CONF. LOCAÇÃO: 054/2023/PGJ.</v>
      </c>
      <c r="F365" s="2" t="s">
        <v>116</v>
      </c>
      <c r="G365" s="5" t="str">
        <f>HYPERLINK("http://www8.mpce.mp.br/Empenhos/150501/NE/2024NE000556.pdf","2024NE000556")</f>
        <v>2024NE000556</v>
      </c>
      <c r="H365" s="6">
        <v>22000</v>
      </c>
      <c r="I365" s="7" t="s">
        <v>153</v>
      </c>
      <c r="J365" s="10" t="s">
        <v>154</v>
      </c>
      <c r="K365" t="str">
        <f>HYPERLINK("http://www8.mpce.mp.br/Empenhos/150501/NE/2024NE000297.pdf","2024NE000297")</f>
        <v>2024NE000297</v>
      </c>
      <c r="L365" s="13">
        <v>1431.35</v>
      </c>
      <c r="M365" t="s">
        <v>140</v>
      </c>
      <c r="N365">
        <v>15473585000134</v>
      </c>
    </row>
    <row r="366" spans="1:14" ht="63.75" x14ac:dyDescent="0.25">
      <c r="A366" s="12" t="s">
        <v>34</v>
      </c>
      <c r="B366" s="2" t="s">
        <v>542</v>
      </c>
      <c r="C366" s="3" t="str">
        <f>HYPERLINK("https://transparencia-area-fim.mpce.mp.br/#/consulta/processo/pastadigital/092023000388810","09.2023.00038881-0")</f>
        <v>09.2023.00038881-0</v>
      </c>
      <c r="D366" s="4">
        <v>45454</v>
      </c>
      <c r="E366" s="16" t="str">
        <f>HYPERLINK("https://www8.mpce.mp.br/Empenhos/150001/Objeto/22-2024.pdf","EMPENHO REF. SERVIÇOS DE SOLUÇÃO EM NUVEM DE PROTEÇÃO, GESTÃO, AVALIAÇÃO DE POSTURA E CONECTIVIDADE PARA NUVEM, INCLUINDO IMPLANTAÇÃO, MONITORAMENTO E SUPORTE TÉCNICO, CONF. CONTRATO 022/2024, REF. JUN/2024, POR ESTIMATIVA.")</f>
        <v>EMPENHO REF. SERVIÇOS DE SOLUÇÃO EM NUVEM DE PROTEÇÃO, GESTÃO, AVALIAÇÃO DE POSTURA E CONECTIVIDADE PARA NUVEM, INCLUINDO IMPLANTAÇÃO, MONITORAMENTO E SUPORTE TÉCNICO, CONF. CONTRATO 022/2024, REF. JUN/2024, POR ESTIMATIVA.</v>
      </c>
      <c r="F366" s="2" t="s">
        <v>516</v>
      </c>
      <c r="G366" s="5" t="str">
        <f>HYPERLINK("http://www8.mpce.mp.br/Empenhos/150501/NE/2024NE000558.pdf","2024NE000558")</f>
        <v>2024NE000558</v>
      </c>
      <c r="H366" s="6">
        <v>35718.5</v>
      </c>
      <c r="I366" s="7" t="s">
        <v>244</v>
      </c>
      <c r="J366" s="10" t="s">
        <v>245</v>
      </c>
      <c r="K366" t="str">
        <f>HYPERLINK("http://www8.mpce.mp.br/Empenhos/150501/NE/2024NE000301.pdf","2024NE000301")</f>
        <v>2024NE000301</v>
      </c>
      <c r="L366" s="13">
        <v>682500</v>
      </c>
      <c r="M366" t="s">
        <v>376</v>
      </c>
      <c r="N366">
        <v>5555382000133</v>
      </c>
    </row>
    <row r="367" spans="1:14" ht="38.25" x14ac:dyDescent="0.25">
      <c r="A367" s="12" t="s">
        <v>9</v>
      </c>
      <c r="B367" s="2" t="s">
        <v>543</v>
      </c>
      <c r="C367" s="3" t="str">
        <f>HYPERLINK("http://www8.mpce.mp.br/Inexigibilidade/2903020176.pdf","29030/2017-6")</f>
        <v>29030/2017-6</v>
      </c>
      <c r="D367" s="4">
        <v>45455</v>
      </c>
      <c r="E367" s="16" t="str">
        <f>HYPERLINK("https://www8.mpce.mp.br/Empenhos/150001/Objeto/31-2018.pdf","EMPENHO REF. SERVIÇO DO SAJ-MP - SUPORTE 1º NÍVEL, CONF. CONTRATO 031/2018 E PROJETO 052/2023/FRMMP, REF. JUN/2024, POR ESTIMATIVA.")</f>
        <v>EMPENHO REF. SERVIÇO DO SAJ-MP - SUPORTE 1º NÍVEL, CONF. CONTRATO 031/2018 E PROJETO 052/2023/FRMMP, REF. JUN/2024, POR ESTIMATIVA.</v>
      </c>
      <c r="F367" s="2" t="s">
        <v>71</v>
      </c>
      <c r="G367" s="5" t="str">
        <f>HYPERLINK("http://www8.mpce.mp.br/Empenhos/150501/NE/2024NE000560.pdf","2024NE000560")</f>
        <v>2024NE000560</v>
      </c>
      <c r="H367" s="6">
        <v>75338.100000000006</v>
      </c>
      <c r="I367" s="7" t="s">
        <v>72</v>
      </c>
      <c r="J367" s="10" t="s">
        <v>73</v>
      </c>
      <c r="K367" t="str">
        <f>HYPERLINK("http://www8.mpce.mp.br/Empenhos/150501/NE/2024NE000303.pdf","2024NE000303")</f>
        <v>2024NE000303</v>
      </c>
      <c r="L367" s="13">
        <v>2601.5500000000002</v>
      </c>
      <c r="M367" t="s">
        <v>203</v>
      </c>
      <c r="N367">
        <v>5817870304</v>
      </c>
    </row>
    <row r="368" spans="1:14" ht="63.75" x14ac:dyDescent="0.25">
      <c r="A368" s="12" t="s">
        <v>34</v>
      </c>
      <c r="B368" s="2" t="s">
        <v>544</v>
      </c>
      <c r="C368" s="3" t="str">
        <f>HYPERLINK("http://www8.mpce.mp.br/Dispensa/6795020160.pdf","6795020160")</f>
        <v>6795020160</v>
      </c>
      <c r="D368" s="4">
        <v>45457</v>
      </c>
      <c r="E368" s="16" t="str">
        <f>HYPERLINK("https://www8.mpce.mp.br/Empenhos/150001/Objeto/08-2017.pdf","EMPENHO REF. ALUGUEL DE IMÓVEL SITUADO NA R. ACADÊMICO LUIZ AIRES DE ARAÚJO NETO, 243 - CENTRO, JARDIM-CE, ONDE FUNCIONA SEDE DE PROMOTORIAS DE JUSTIÇA DA COMARCA DE JARDIM, CONF. CONTRATO 008/2017, REF. JUL, AGO E SET/2024, POR ESTIMATIVA.")</f>
        <v>EMPENHO REF. ALUGUEL DE IMÓVEL SITUADO NA R. ACADÊMICO LUIZ AIRES DE ARAÚJO NETO, 243 - CENTRO, JARDIM-CE, ONDE FUNCIONA SEDE DE PROMOTORIAS DE JUSTIÇA DA COMARCA DE JARDIM, CONF. CONTRATO 008/2017, REF. JUL, AGO E SET/2024, POR ESTIMATIVA.</v>
      </c>
      <c r="F368" s="2" t="s">
        <v>161</v>
      </c>
      <c r="G368" s="5" t="str">
        <f>HYPERLINK("http://www8.mpce.mp.br/Empenhos/150501/NE/2024NE000566.pdf","2024NE000566")</f>
        <v>2024NE000566</v>
      </c>
      <c r="H368" s="6">
        <v>2040.09</v>
      </c>
      <c r="I368" s="7" t="s">
        <v>219</v>
      </c>
      <c r="J368" s="10" t="s">
        <v>220</v>
      </c>
      <c r="K368" t="str">
        <f>HYPERLINK("http://www8.mpce.mp.br/Empenhos/150501/NE/2024NE000309.pdf","2024NE000309")</f>
        <v>2024NE000309</v>
      </c>
      <c r="L368" s="13">
        <v>8683.1200000000008</v>
      </c>
      <c r="M368" t="s">
        <v>232</v>
      </c>
      <c r="N368">
        <v>18904432391</v>
      </c>
    </row>
    <row r="369" spans="1:14" ht="51" x14ac:dyDescent="0.25">
      <c r="A369" s="12" t="s">
        <v>34</v>
      </c>
      <c r="B369" s="2" t="s">
        <v>545</v>
      </c>
      <c r="C369" s="3" t="str">
        <f>HYPERLINK("http://www8.mpce.mp.br/Dispensa/1320920133.pdf","13209/2013-3")</f>
        <v>13209/2013-3</v>
      </c>
      <c r="D369" s="4">
        <v>45457</v>
      </c>
      <c r="E369" s="16" t="str">
        <f>HYPERLINK("https://www8.mpce.mp.br/Empenhos/150001/Objeto/43-2013.pdf","EMPENHO REF. ALUGUEL DE IMÓVEL ONDE FUNCIONA SEDE DAS PROMOTORIAS DE JUSTIÇA DA COMARCA DE MORADA NOVA, CONF. CONTRATO 043/2013, REF. JUL, AGO E SET/2024, POR ESTIMATIVA.")</f>
        <v>EMPENHO REF. ALUGUEL DE IMÓVEL ONDE FUNCIONA SEDE DAS PROMOTORIAS DE JUSTIÇA DA COMARCA DE MORADA NOVA, CONF. CONTRATO 043/2013, REF. JUL, AGO E SET/2024, POR ESTIMATIVA.</v>
      </c>
      <c r="F369" s="2" t="s">
        <v>161</v>
      </c>
      <c r="G369" s="5" t="str">
        <f>HYPERLINK("http://www8.mpce.mp.br/Empenhos/150501/NE/2024NE000567.pdf","2024NE000567")</f>
        <v>2024NE000567</v>
      </c>
      <c r="H369" s="6">
        <v>24450.84</v>
      </c>
      <c r="I369" s="7" t="s">
        <v>177</v>
      </c>
      <c r="J369" s="10" t="s">
        <v>178</v>
      </c>
      <c r="K369" t="str">
        <f>HYPERLINK("http://www8.mpce.mp.br/Empenhos/150501/NE/2024NE000315.pdf","2024NE000315")</f>
        <v>2024NE000315</v>
      </c>
      <c r="L369" s="13">
        <v>3780</v>
      </c>
      <c r="M369" t="s">
        <v>215</v>
      </c>
      <c r="N369">
        <v>21134653000133</v>
      </c>
    </row>
    <row r="370" spans="1:14" ht="51" x14ac:dyDescent="0.25">
      <c r="A370" s="12" t="s">
        <v>34</v>
      </c>
      <c r="B370" s="2" t="s">
        <v>546</v>
      </c>
      <c r="C370" s="3" t="str">
        <f>HYPERLINK("http://www8.mpce.mp.br/Dispensa/146020136.pdf","1460/2013-6")</f>
        <v>1460/2013-6</v>
      </c>
      <c r="D370" s="4">
        <v>45457</v>
      </c>
      <c r="E370" s="16" t="str">
        <f>HYPERLINK("https://www8.mpce.mp.br/Empenhos/150001/Objeto/39-2013.pdf","EMPENHO REF. ALUGUEL DO IMÓVEL ONDE FUNCIONA A SEDE DAS PROMOTORIAS DE JUSTIÇA DA COMARCA DE CASCAVEL-CE, CONF. CONTRATO 039/2013, REF. JUL, AGO E SET/2024, POR ESTIMATIVA.")</f>
        <v>EMPENHO REF. ALUGUEL DO IMÓVEL ONDE FUNCIONA A SEDE DAS PROMOTORIAS DE JUSTIÇA DA COMARCA DE CASCAVEL-CE, CONF. CONTRATO 039/2013, REF. JUL, AGO E SET/2024, POR ESTIMATIVA.</v>
      </c>
      <c r="F370" s="2" t="s">
        <v>161</v>
      </c>
      <c r="G370" s="5" t="str">
        <f>HYPERLINK("http://www8.mpce.mp.br/Empenhos/150501/NE/2024NE000568.pdf","2024NE000568")</f>
        <v>2024NE000568</v>
      </c>
      <c r="H370" s="6">
        <v>13024.68</v>
      </c>
      <c r="I370" s="7" t="s">
        <v>232</v>
      </c>
      <c r="J370" s="10" t="s">
        <v>233</v>
      </c>
      <c r="K370" t="str">
        <f>HYPERLINK("http://www8.mpce.mp.br/Empenhos/150501/NE/2024NE000316.pdf","2024NE000316")</f>
        <v>2024NE000316</v>
      </c>
      <c r="L370" s="13">
        <v>2071.71</v>
      </c>
      <c r="M370" t="s">
        <v>205</v>
      </c>
      <c r="N370">
        <v>34123367852</v>
      </c>
    </row>
    <row r="371" spans="1:14" ht="51" x14ac:dyDescent="0.25">
      <c r="A371" s="12" t="s">
        <v>34</v>
      </c>
      <c r="B371" s="2" t="s">
        <v>547</v>
      </c>
      <c r="C371" s="3" t="str">
        <f>HYPERLINK("http://www8.mpce.mp.br/Dispensa/575920103.pdf","5759/2010-3")</f>
        <v>5759/2010-3</v>
      </c>
      <c r="D371" s="4">
        <v>45457</v>
      </c>
      <c r="E371" s="16" t="str">
        <f>HYPERLINK("https://www8.mpce.mp.br/Empenhos/150001/Objeto/22-2010.pdf","EMPENHO REF. ALUGUEL DE IMÓVEL SITUADO EM GUAIÚBA-CE, ONDE FUNCIONA SEDE DE PROMOTORIAS DE JUSTIÇA DAQUELA COMARCA, CONF. CONTRATO 022/2010, REF. JUL, AGO E SET/2024, POR ESTIMATIVA.")</f>
        <v>EMPENHO REF. ALUGUEL DE IMÓVEL SITUADO EM GUAIÚBA-CE, ONDE FUNCIONA SEDE DE PROMOTORIAS DE JUSTIÇA DAQUELA COMARCA, CONF. CONTRATO 022/2010, REF. JUL, AGO E SET/2024, POR ESTIMATIVA.</v>
      </c>
      <c r="F371" s="2" t="s">
        <v>161</v>
      </c>
      <c r="G371" s="5" t="str">
        <f>HYPERLINK("http://www8.mpce.mp.br/Empenhos/150501/NE/2024NE000569.pdf","2024NE000569")</f>
        <v>2024NE000569</v>
      </c>
      <c r="H371" s="6">
        <v>7025.91</v>
      </c>
      <c r="I371" s="7" t="s">
        <v>211</v>
      </c>
      <c r="J371" s="10" t="s">
        <v>212</v>
      </c>
      <c r="K371" t="str">
        <f>HYPERLINK("http://www8.mpce.mp.br/Empenhos/150501/NE/2024NE000317.pdf","2024NE000317")</f>
        <v>2024NE000317</v>
      </c>
      <c r="L371">
        <v>222.16</v>
      </c>
      <c r="M371" t="s">
        <v>148</v>
      </c>
      <c r="N371">
        <v>23889442000136</v>
      </c>
    </row>
    <row r="372" spans="1:14" ht="51" x14ac:dyDescent="0.25">
      <c r="A372" s="12" t="s">
        <v>34</v>
      </c>
      <c r="B372" s="2" t="s">
        <v>548</v>
      </c>
      <c r="C372" s="3" t="str">
        <f>HYPERLINK("http://www8.mpce.mp.br/Dispensa/2887720171.pdf","28877/2017-1")</f>
        <v>28877/2017-1</v>
      </c>
      <c r="D372" s="4">
        <v>45457</v>
      </c>
      <c r="E372" s="16" t="str">
        <f>HYPERLINK("https://www8.mpce.mp.br/Empenhos/150001/Objeto/24-2019.pdf","EMPENHO REF. ALUGUEL DE IMÓVEL ONDE FUNCIONA SEDE DE PROMOTORIAS DE JUSTIÇA DA COMARCA DE JAGUARIBE-CE, CONF. CONTRATO 024/2019, REF. JUL, AGO E SET/2024, POR ESTIMATIVA.")</f>
        <v>EMPENHO REF. ALUGUEL DE IMÓVEL ONDE FUNCIONA SEDE DE PROMOTORIAS DE JUSTIÇA DA COMARCA DE JAGUARIBE-CE, CONF. CONTRATO 024/2019, REF. JUL, AGO E SET/2024, POR ESTIMATIVA.</v>
      </c>
      <c r="F372" s="2" t="s">
        <v>116</v>
      </c>
      <c r="G372" s="5" t="str">
        <f>HYPERLINK("http://www8.mpce.mp.br/Empenhos/150501/NE/2024NE000570.pdf","2024NE000570")</f>
        <v>2024NE000570</v>
      </c>
      <c r="H372" s="6">
        <v>4294.05</v>
      </c>
      <c r="I372" s="7" t="s">
        <v>140</v>
      </c>
      <c r="J372" s="10" t="s">
        <v>141</v>
      </c>
      <c r="K372" t="str">
        <f>HYPERLINK("http://www8.mpce.mp.br/Empenhos/150501/NE/2024NE000319.pdf","2024NE000319")</f>
        <v>2024NE000319</v>
      </c>
      <c r="L372">
        <v>410.4</v>
      </c>
      <c r="M372" t="s">
        <v>38</v>
      </c>
      <c r="N372">
        <v>33065699000127</v>
      </c>
    </row>
    <row r="373" spans="1:14" ht="51" x14ac:dyDescent="0.25">
      <c r="A373" s="12" t="s">
        <v>34</v>
      </c>
      <c r="B373" s="2" t="s">
        <v>549</v>
      </c>
      <c r="C373" s="3" t="str">
        <f>HYPERLINK("http://www8.mpce.mp.br/Dispensa/1955220197.pdf","19552/2019-7")</f>
        <v>19552/2019-7</v>
      </c>
      <c r="D373" s="4">
        <v>45457</v>
      </c>
      <c r="E373" s="16" t="str">
        <f>HYPERLINK("https://www8.mpce.mp.br/Empenhos/150001/Objeto/85-2019.pdf","EMPENHO REF. ALUGUEL DE IMÓVEL EM PARAIPABA-CE, ONDE FUNCIONA A SEDE DAS PROMOTORIAS DE JUSTIÇA DAQUELA COMARCA, CONF. CONTRATO 085/2019, REF. JUL, AGO E SET/2024, POR ESTIMATIVA.")</f>
        <v>EMPENHO REF. ALUGUEL DE IMÓVEL EM PARAIPABA-CE, ONDE FUNCIONA A SEDE DAS PROMOTORIAS DE JUSTIÇA DAQUELA COMARCA, CONF. CONTRATO 085/2019, REF. JUL, AGO E SET/2024, POR ESTIMATIVA.</v>
      </c>
      <c r="F373" s="2" t="s">
        <v>161</v>
      </c>
      <c r="G373" s="5" t="str">
        <f>HYPERLINK("http://www8.mpce.mp.br/Empenhos/150501/NE/2024NE000571.pdf","2024NE000571")</f>
        <v>2024NE000571</v>
      </c>
      <c r="H373" s="6">
        <v>3920.1</v>
      </c>
      <c r="I373" s="7" t="s">
        <v>186</v>
      </c>
      <c r="J373" s="10" t="s">
        <v>187</v>
      </c>
      <c r="K373" t="str">
        <f>HYPERLINK("http://www8.mpce.mp.br/Empenhos/150001/NE/2024NE000320.pdf","2024NE000320")</f>
        <v>2024NE000320</v>
      </c>
      <c r="L373" s="13">
        <v>7350</v>
      </c>
      <c r="M373" t="s">
        <v>383</v>
      </c>
      <c r="N373">
        <v>12925895000154</v>
      </c>
    </row>
    <row r="374" spans="1:14" ht="67.5" x14ac:dyDescent="0.25">
      <c r="A374" s="12" t="s">
        <v>34</v>
      </c>
      <c r="B374" s="2" t="s">
        <v>550</v>
      </c>
      <c r="C374" s="3" t="str">
        <f>HYPERLINK("http://www8.mpce.mp.br/Dispensa/2004820193.pdf","20048/2019-3")</f>
        <v>20048/2019-3</v>
      </c>
      <c r="D374" s="4">
        <v>45457</v>
      </c>
      <c r="E374" s="16" t="str">
        <f>HYPERLINK("https://www8.mpce.mp.br/Empenhos/150001/Objeto/84-2019.pdf","EMPENHO REF. LOCAÇÃO DE IMÓVEL EM MOMBAÇA-CE, ONDE FUNCIONA A SEDE DAS PROMOTORIAS DE JUSTIÇA DAQUELA COMARCA, CONF. CONTRATO 084/2019, REF. JUL, AGO E SET/2024, POR ESTIMATIVA.")</f>
        <v>EMPENHO REF. LOCAÇÃO DE IMÓVEL EM MOMBAÇA-CE, ONDE FUNCIONA A SEDE DAS PROMOTORIAS DE JUSTIÇA DAQUELA COMARCA, CONF. CONTRATO 084/2019, REF. JUL, AGO E SET/2024, POR ESTIMATIVA.</v>
      </c>
      <c r="F374" s="2" t="s">
        <v>161</v>
      </c>
      <c r="G374" s="5" t="str">
        <f>HYPERLINK("http://www8.mpce.mp.br/Empenhos/150501/NE/2024NE000572.pdf","2024NE000572")</f>
        <v>2024NE000572</v>
      </c>
      <c r="H374" s="6">
        <v>12000</v>
      </c>
      <c r="I374" s="7" t="s">
        <v>162</v>
      </c>
      <c r="J374" s="10" t="s">
        <v>163</v>
      </c>
      <c r="K374" t="str">
        <f>HYPERLINK("http://www8.mpce.mp.br/Empenhos/150501/NE/2024NE000320.pdf","2024NE000320")</f>
        <v>2024NE000320</v>
      </c>
      <c r="L374" s="13">
        <v>3155.01</v>
      </c>
      <c r="M374" t="s">
        <v>142</v>
      </c>
      <c r="N374">
        <v>8744388000147</v>
      </c>
    </row>
    <row r="375" spans="1:14" ht="51" x14ac:dyDescent="0.25">
      <c r="A375" s="12" t="s">
        <v>34</v>
      </c>
      <c r="B375" s="2" t="s">
        <v>551</v>
      </c>
      <c r="C375" s="3" t="str">
        <f>HYPERLINK("http://www8.mpce.mp.br/Dispensa/2150720189.pdf","21507/2018-9")</f>
        <v>21507/2018-9</v>
      </c>
      <c r="D375" s="4">
        <v>45457</v>
      </c>
      <c r="E375" s="16" t="str">
        <f>HYPERLINK("https://www8.mpce.mp.br/Empenhos/150001/Objeto/51-2019.pdf","EMPENHO REF. LOCAÇÃO DE IMÓVEL SITUADO EM VIÇOSA DO CEARÁ-CE, QUE ABRIGA SEDE DE PROMOTORIAS DE JUSTIÇA DAQUELA COMARCA, CONF. CONTRATO 051/2019, REF. JUL, AGO E SET/2024, POR ESTIMATIVA.")</f>
        <v>EMPENHO REF. LOCAÇÃO DE IMÓVEL SITUADO EM VIÇOSA DO CEARÁ-CE, QUE ABRIGA SEDE DE PROMOTORIAS DE JUSTIÇA DAQUELA COMARCA, CONF. CONTRATO 051/2019, REF. JUL, AGO E SET/2024, POR ESTIMATIVA.</v>
      </c>
      <c r="F375" s="2" t="s">
        <v>161</v>
      </c>
      <c r="G375" s="5" t="str">
        <f>HYPERLINK("http://www8.mpce.mp.br/Empenhos/150501/NE/2024NE000573.pdf","2024NE000573")</f>
        <v>2024NE000573</v>
      </c>
      <c r="H375" s="6">
        <v>8807.1299999999992</v>
      </c>
      <c r="I375" s="7" t="s">
        <v>179</v>
      </c>
      <c r="J375" s="10" t="s">
        <v>180</v>
      </c>
      <c r="K375" t="str">
        <f>HYPERLINK("http://www8.mpce.mp.br/Empenhos/150501/NE/2024NE000321.pdf","2024NE000321")</f>
        <v>2024NE000321</v>
      </c>
      <c r="L375" s="13">
        <v>54790.38</v>
      </c>
      <c r="M375" t="s">
        <v>22</v>
      </c>
      <c r="N375">
        <v>83472803000176</v>
      </c>
    </row>
    <row r="376" spans="1:14" ht="51" x14ac:dyDescent="0.25">
      <c r="A376" s="12" t="s">
        <v>34</v>
      </c>
      <c r="B376" s="2" t="s">
        <v>552</v>
      </c>
      <c r="C376" s="3" t="str">
        <f>HYPERLINK("http://www8.mpce.mp.br/Dispensa/4503020176.pdf","45030/2017-6")</f>
        <v>45030/2017-6</v>
      </c>
      <c r="D376" s="4">
        <v>45457</v>
      </c>
      <c r="E376" s="16" t="str">
        <f>HYPERLINK("https://www8.mpce.mp.br/Empenhos/150001/Objeto/74-2019.pdf","EMPENHO REF. LOCAÇÃO DE IMÓVEL ONDE FUNCIONA A SEDE DAS PROMOTORIAS DE JUSTIÇA DA COMARCA DE GRANJA, CONF. CONTRATO 074/2019, REF. JUL, AGO E SET/2024, POR ESTIMATIVA.")</f>
        <v>EMPENHO REF. LOCAÇÃO DE IMÓVEL ONDE FUNCIONA A SEDE DAS PROMOTORIAS DE JUSTIÇA DA COMARCA DE GRANJA, CONF. CONTRATO 074/2019, REF. JUL, AGO E SET/2024, POR ESTIMATIVA.</v>
      </c>
      <c r="F376" s="2" t="s">
        <v>161</v>
      </c>
      <c r="G376" s="5" t="str">
        <f>HYPERLINK("http://www8.mpce.mp.br/Empenhos/150501/NE/2024NE000574.pdf","2024NE000574")</f>
        <v>2024NE000574</v>
      </c>
      <c r="H376" s="6">
        <v>6564.03</v>
      </c>
      <c r="I376" s="7" t="s">
        <v>236</v>
      </c>
      <c r="J376" s="10" t="s">
        <v>237</v>
      </c>
      <c r="K376" t="str">
        <f>HYPERLINK("http://www8.mpce.mp.br/Empenhos/150501/NE/2024NE000323.pdf","2024NE000323")</f>
        <v>2024NE000323</v>
      </c>
      <c r="L376">
        <v>352.24</v>
      </c>
      <c r="M376" t="s">
        <v>148</v>
      </c>
      <c r="N376">
        <v>23889442000136</v>
      </c>
    </row>
    <row r="377" spans="1:14" ht="51" x14ac:dyDescent="0.25">
      <c r="A377" s="12" t="s">
        <v>34</v>
      </c>
      <c r="B377" s="2" t="s">
        <v>553</v>
      </c>
      <c r="C377" s="3" t="str">
        <f>HYPERLINK("https://transparencia-area-fim.mpce.mp.br/#/consulta/processo/pastadigital/092022000264193","09.2022.00026419-3")</f>
        <v>09.2022.00026419-3</v>
      </c>
      <c r="D377" s="4">
        <v>45457</v>
      </c>
      <c r="E377" s="16" t="str">
        <f>HYPERLINK("https://www8.mpce.mp.br/Empenhos/150001/Objeto/28-2022.pdf","EMPENHO REF. LOCAÇÃO DE IMÓVEL SITUADO EM AURORA-CE, ONDE FUNCIONA SEDE DE PROMOTORIAS DE JUSTIÇA DAQUELA COMARCA, CONF. CONTRATO 028/2022, REF. JUL, AGO E SET/2024, POR ESTIMATIVA.")</f>
        <v>EMPENHO REF. LOCAÇÃO DE IMÓVEL SITUADO EM AURORA-CE, ONDE FUNCIONA SEDE DE PROMOTORIAS DE JUSTIÇA DAQUELA COMARCA, CONF. CONTRATO 028/2022, REF. JUL, AGO E SET/2024, POR ESTIMATIVA.</v>
      </c>
      <c r="F377" s="2" t="s">
        <v>161</v>
      </c>
      <c r="G377" s="5" t="str">
        <f>HYPERLINK("http://www8.mpce.mp.br/Empenhos/150501/NE/2024NE000575.pdf","2024NE000575")</f>
        <v>2024NE000575</v>
      </c>
      <c r="H377" s="6">
        <v>6000</v>
      </c>
      <c r="I377" s="7" t="s">
        <v>201</v>
      </c>
      <c r="J377" s="10" t="s">
        <v>202</v>
      </c>
      <c r="K377" t="str">
        <f>HYPERLINK("http://www8.mpce.mp.br/Empenhos/150501/NE/2024NE000325.pdf","2024NE000325")</f>
        <v>2024NE000325</v>
      </c>
      <c r="L377">
        <v>57.09</v>
      </c>
      <c r="M377" t="s">
        <v>213</v>
      </c>
      <c r="N377">
        <v>65652827300</v>
      </c>
    </row>
    <row r="378" spans="1:14" ht="51" x14ac:dyDescent="0.25">
      <c r="A378" s="12" t="s">
        <v>34</v>
      </c>
      <c r="B378" s="2" t="s">
        <v>554</v>
      </c>
      <c r="C378" s="3" t="str">
        <f>HYPERLINK("http://www8.mpce.mp.br/Dispensa/3642820165.pdf","36428/2016-5")</f>
        <v>36428/2016-5</v>
      </c>
      <c r="D378" s="4">
        <v>45457</v>
      </c>
      <c r="E378" s="16" t="str">
        <f>HYPERLINK("https://www8.mpce.mp.br/Empenhos/150001/Objeto/26-2017.pdf","EMPENHO REF. LOCAÇÃO DE IMÓVEL ONDE FUNCIONA SEDE DE PROMOTORIAS DE JUSTIÇA DA COMARCA DE MARANGUAPE, CONF. CONTRATO 026/2017, REF. JUL, AGO E SET/2024, POR ESTIMATIVA.")</f>
        <v>EMPENHO REF. LOCAÇÃO DE IMÓVEL ONDE FUNCIONA SEDE DE PROMOTORIAS DE JUSTIÇA DA COMARCA DE MARANGUAPE, CONF. CONTRATO 026/2017, REF. JUL, AGO E SET/2024, POR ESTIMATIVA.</v>
      </c>
      <c r="F378" s="2" t="s">
        <v>161</v>
      </c>
      <c r="G378" s="5" t="str">
        <f>HYPERLINK("http://www8.mpce.mp.br/Empenhos/150501/NE/2024NE000576.pdf","2024NE000576")</f>
        <v>2024NE000576</v>
      </c>
      <c r="H378" s="6">
        <v>16554.45</v>
      </c>
      <c r="I378" s="7" t="s">
        <v>205</v>
      </c>
      <c r="J378" s="10" t="s">
        <v>206</v>
      </c>
      <c r="K378" t="str">
        <f>HYPERLINK("http://www8.mpce.mp.br/Empenhos/150501/NE/2024NE000329.pdf","2024NE000329")</f>
        <v>2024NE000329</v>
      </c>
      <c r="L378" s="13">
        <v>13800</v>
      </c>
      <c r="M378" t="s">
        <v>244</v>
      </c>
      <c r="N378">
        <v>3773788000167</v>
      </c>
    </row>
    <row r="379" spans="1:14" ht="63.75" x14ac:dyDescent="0.25">
      <c r="A379" s="12" t="s">
        <v>34</v>
      </c>
      <c r="B379" s="2" t="s">
        <v>555</v>
      </c>
      <c r="C379" s="3" t="str">
        <f>HYPERLINK("https://transparencia-area-fim.mpce.mp.br/#/consulta/processo/pastadigital/092021000166790","09.2021.00016679-0")</f>
        <v>09.2021.00016679-0</v>
      </c>
      <c r="D379" s="4">
        <v>45457</v>
      </c>
      <c r="E379" s="16" t="str">
        <f>HYPERLINK("https://www8.mpce.mp.br/Empenhos/150001/Objeto/24-2022.pdf","EMPENHO REF. LOCAÇÃO DE IMÓVEL SITUADO EM HORIZONTE-CE, ONDE FUNCIONA A SEDE DAS PROMOTORIAS DE JUSTIÇA DAQUELA COMARCA, CONF. CONTRATO 024/2022, REF. JUL, AGO E SET/2024, POR ESTIMATIVA.")</f>
        <v>EMPENHO REF. LOCAÇÃO DE IMÓVEL SITUADO EM HORIZONTE-CE, ONDE FUNCIONA A SEDE DAS PROMOTORIAS DE JUSTIÇA DAQUELA COMARCA, CONF. CONTRATO 024/2022, REF. JUL, AGO E SET/2024, POR ESTIMATIVA.</v>
      </c>
      <c r="F379" s="2" t="s">
        <v>161</v>
      </c>
      <c r="G379" s="5" t="str">
        <f>HYPERLINK("http://www8.mpce.mp.br/Empenhos/150501/NE/2024NE000577.pdf","2024NE000577")</f>
        <v>2024NE000577</v>
      </c>
      <c r="H379" s="6">
        <v>7200</v>
      </c>
      <c r="I379" s="7" t="s">
        <v>209</v>
      </c>
      <c r="J379" s="10" t="s">
        <v>210</v>
      </c>
      <c r="K379" t="str">
        <f>HYPERLINK("http://www8.mpce.mp.br/Empenhos/150501/NE/2024NE000329.pdf","2024NE000329")</f>
        <v>2024NE000329</v>
      </c>
      <c r="L379" s="13">
        <v>13800</v>
      </c>
      <c r="M379" t="s">
        <v>244</v>
      </c>
      <c r="N379">
        <v>3773788000167</v>
      </c>
    </row>
    <row r="380" spans="1:14" ht="51" x14ac:dyDescent="0.25">
      <c r="A380" s="12" t="s">
        <v>34</v>
      </c>
      <c r="B380" s="2" t="s">
        <v>556</v>
      </c>
      <c r="C380" s="3" t="str">
        <f>HYPERLINK("https://transparencia-area-fim.mpce.mp.br/#/consulta/processo/pastadigital/092021000121226","09.2021.00012122-6")</f>
        <v>09.2021.00012122-6</v>
      </c>
      <c r="D380" s="4">
        <v>45457</v>
      </c>
      <c r="E380" s="16" t="str">
        <f>HYPERLINK("https://www8.mpce.mp.br/Empenhos/150001/Objeto/34-2021.pdf","EMPENHO REF. LOCAÇÃO DE IMÓVEL SITUADO EM SÃO BENEDITO-CE, ONDE FUNCIONA SEDE DE PROMOTORIAS DE JUSTIÇA DAQUELA COMARCA, CONF. CONTRATO 034/2021, REF. JUL, AGO E SET/2024, POR ESTIMATIVA.")</f>
        <v>EMPENHO REF. LOCAÇÃO DE IMÓVEL SITUADO EM SÃO BENEDITO-CE, ONDE FUNCIONA SEDE DE PROMOTORIAS DE JUSTIÇA DAQUELA COMARCA, CONF. CONTRATO 034/2021, REF. JUL, AGO E SET/2024, POR ESTIMATIVA.</v>
      </c>
      <c r="F380" s="2" t="s">
        <v>161</v>
      </c>
      <c r="G380" s="5" t="str">
        <f>HYPERLINK("http://www8.mpce.mp.br/Empenhos/150501/NE/2024NE000578.pdf","2024NE000578")</f>
        <v>2024NE000578</v>
      </c>
      <c r="H380" s="6">
        <v>8469.81</v>
      </c>
      <c r="I380" s="7" t="s">
        <v>193</v>
      </c>
      <c r="J380" s="10" t="s">
        <v>194</v>
      </c>
      <c r="K380" t="str">
        <f>HYPERLINK("http://www8.mpce.mp.br/Empenhos/150501/NE/2024NE000329.pdf","2024NE000329")</f>
        <v>2024NE000329</v>
      </c>
      <c r="L380" s="13">
        <v>13800</v>
      </c>
      <c r="M380" t="s">
        <v>244</v>
      </c>
      <c r="N380">
        <v>3773788000167</v>
      </c>
    </row>
    <row r="381" spans="1:14" ht="51" x14ac:dyDescent="0.25">
      <c r="A381" s="12" t="s">
        <v>34</v>
      </c>
      <c r="B381" s="2" t="s">
        <v>592</v>
      </c>
      <c r="C381" s="3" t="str">
        <f>HYPERLINK("https://transparencia-area-fim.mpce.mp.br/#/consulta/processo/pastadigital/092021000079244","09.2021.00007924-4")</f>
        <v>09.2021.00007924-4</v>
      </c>
      <c r="D381" s="4">
        <v>45460</v>
      </c>
      <c r="E381" s="16" t="str">
        <f>HYPERLINK("https://www8.mpce.mp.br/Empenhos/150001/Objeto/27-2021.pdf","EMPENHO REF. LOCAÇÃO DE IMÓVEL ONDE FUNCIONA SEDE DE PROMOTORIAS DE JUSTIÇA DA COMARCA DE EUSÉBIO, CONF. CONTRATO 027/2021, REF. JUL, AGO E SET/2024, POR ESTIMATIVA.")</f>
        <v>EMPENHO REF. LOCAÇÃO DE IMÓVEL ONDE FUNCIONA SEDE DE PROMOTORIAS DE JUSTIÇA DA COMARCA DE EUSÉBIO, CONF. CONTRATO 027/2021, REF. JUL, AGO E SET/2024, POR ESTIMATIVA.</v>
      </c>
      <c r="F381" s="2" t="s">
        <v>116</v>
      </c>
      <c r="G381" s="5" t="str">
        <f>HYPERLINK("http://www8.mpce.mp.br/Empenhos/150501/NE/2024NE000579.pdf","2024NE000579")</f>
        <v>2024NE000579</v>
      </c>
      <c r="H381" s="6">
        <v>16638.3</v>
      </c>
      <c r="I381" s="7" t="s">
        <v>144</v>
      </c>
      <c r="J381" s="10" t="s">
        <v>145</v>
      </c>
      <c r="K381" t="str">
        <f>HYPERLINK("http://www8.mpce.mp.br/Empenhos/150501/NE/2024NE000329.pdf","2024NE000329")</f>
        <v>2024NE000329</v>
      </c>
      <c r="L381" s="13">
        <v>13800</v>
      </c>
      <c r="M381" t="s">
        <v>244</v>
      </c>
      <c r="N381">
        <v>3773788000167</v>
      </c>
    </row>
    <row r="382" spans="1:14" ht="51" x14ac:dyDescent="0.25">
      <c r="A382" s="12" t="s">
        <v>34</v>
      </c>
      <c r="B382" s="2" t="s">
        <v>592</v>
      </c>
      <c r="C382" s="3" t="str">
        <f>HYPERLINK("https://transparencia-area-fim.mpce.mp.br/#/consulta/processo/pastadigital/092021000079244","09.2021.00007924-4")</f>
        <v>09.2021.00007924-4</v>
      </c>
      <c r="D382" s="4">
        <v>45460</v>
      </c>
      <c r="E382" s="16" t="str">
        <f>HYPERLINK("https://www8.mpce.mp.br/Empenhos/150001/Objeto/27-2021.pdf","EMPENHO REF. TAXAS CONDOMINIAIS DE IMÓVEL ONDE FUNCIONA SEDE DE PROMOTORIAS DE JUSTIÇA DA COMARCA DE EUSÉBIO, CONF. CONTRATO 027/2021, REF. JUL, AGO E SET/2024, POR ESTIMATIVA.")</f>
        <v>EMPENHO REF. TAXAS CONDOMINIAIS DE IMÓVEL ONDE FUNCIONA SEDE DE PROMOTORIAS DE JUSTIÇA DA COMARCA DE EUSÉBIO, CONF. CONTRATO 027/2021, REF. JUL, AGO E SET/2024, POR ESTIMATIVA.</v>
      </c>
      <c r="F382" s="2" t="s">
        <v>231</v>
      </c>
      <c r="G382" s="5" t="str">
        <f>HYPERLINK("http://www8.mpce.mp.br/Empenhos/150501/NE/2024NE000580.pdf","2024NE000580")</f>
        <v>2024NE000580</v>
      </c>
      <c r="H382" s="6">
        <v>4463.6400000000003</v>
      </c>
      <c r="I382" s="7" t="s">
        <v>144</v>
      </c>
      <c r="J382" s="10" t="s">
        <v>145</v>
      </c>
      <c r="K382" t="str">
        <f>HYPERLINK("http://www8.mpce.mp.br/Empenhos/150501/NE/2024NE000330.pdf","2024NE000330")</f>
        <v>2024NE000330</v>
      </c>
      <c r="L382" s="13">
        <v>22563.68</v>
      </c>
      <c r="M382" t="s">
        <v>244</v>
      </c>
      <c r="N382">
        <v>3773788000167</v>
      </c>
    </row>
    <row r="383" spans="1:14" ht="51" x14ac:dyDescent="0.25">
      <c r="A383" s="12" t="s">
        <v>34</v>
      </c>
      <c r="B383" s="2" t="s">
        <v>593</v>
      </c>
      <c r="C383" s="3" t="str">
        <f>HYPERLINK("https://transparencia-area-fim.mpce.mp.br/#/consulta/processo/pastadigital/092021000219739","09.2021.00021973-9")</f>
        <v>09.2021.00021973-9</v>
      </c>
      <c r="D383" s="4">
        <v>45460</v>
      </c>
      <c r="E383" s="16" t="str">
        <f>HYPERLINK("https://www8.mpce.mp.br/Empenhos/150001/Objeto/45-2021.pdf","EMPENHO DOS ALUGUÉIS DOS MESES DE JULHO A SETEMBRO DE 2024, REF. AO IMÓVEL ONDE FUNCIONAM AS PROMOTORIAS DE JUSTIÇA DA COMARCA DE EUSÉBIO, CONF. CONTRATO DE LOCAÇÃO Nº 045/2021/PGJ.")</f>
        <v>EMPENHO DOS ALUGUÉIS DOS MESES DE JULHO A SETEMBRO DE 2024, REF. AO IMÓVEL ONDE FUNCIONAM AS PROMOTORIAS DE JUSTIÇA DA COMARCA DE EUSÉBIO, CONF. CONTRATO DE LOCAÇÃO Nº 045/2021/PGJ.</v>
      </c>
      <c r="F383" s="2" t="s">
        <v>116</v>
      </c>
      <c r="G383" s="5" t="str">
        <f>HYPERLINK("http://www8.mpce.mp.br/Empenhos/150501/NE/2024NE000581.pdf","2024NE000581")</f>
        <v>2024NE000581</v>
      </c>
      <c r="H383" s="6">
        <v>4921.05</v>
      </c>
      <c r="I383" s="7" t="s">
        <v>144</v>
      </c>
      <c r="J383" s="10" t="s">
        <v>145</v>
      </c>
      <c r="K383" t="str">
        <f>HYPERLINK("http://www8.mpce.mp.br/Empenhos/150501/NE/2024NE000331.pdf","2024NE000331")</f>
        <v>2024NE000331</v>
      </c>
      <c r="L383" s="13">
        <v>45000</v>
      </c>
      <c r="M383" t="s">
        <v>244</v>
      </c>
      <c r="N383">
        <v>3773788000167</v>
      </c>
    </row>
    <row r="384" spans="1:14" ht="51" x14ac:dyDescent="0.25">
      <c r="A384" s="12" t="s">
        <v>34</v>
      </c>
      <c r="B384" s="2" t="s">
        <v>592</v>
      </c>
      <c r="C384" s="3" t="str">
        <f>HYPERLINK("https://transparencia-area-fim.mpce.mp.br/#/consulta/processo/pastadigital/092021000079244","09.2021.00007924-4")</f>
        <v>09.2021.00007924-4</v>
      </c>
      <c r="D384" s="4">
        <v>45460</v>
      </c>
      <c r="E384" s="16" t="str">
        <f>HYPERLINK("https://www8.mpce.mp.br/Empenhos/150001/Objeto/27-2021.pdf","EMPENHO REF. REEMBOLSO DE IPTU DE IMÓVEL ONDE FUNCIONA SEDE DE PROMOTORIAS DE JUSTIÇA DA COMARCA DE EUSÉBIO, CONF. CONTRATO 027/2021, REF. 2024 - 1ª PARCELA.")</f>
        <v>EMPENHO REF. REEMBOLSO DE IPTU DE IMÓVEL ONDE FUNCIONA SEDE DE PROMOTORIAS DE JUSTIÇA DA COMARCA DE EUSÉBIO, CONF. CONTRATO 027/2021, REF. 2024 - 1ª PARCELA.</v>
      </c>
      <c r="F384" s="2" t="s">
        <v>252</v>
      </c>
      <c r="G384" s="5" t="str">
        <f>HYPERLINK("http://www8.mpce.mp.br/Empenhos/150501/NE/2024NE000582.pdf","2024NE000582")</f>
        <v>2024NE000582</v>
      </c>
      <c r="H384" s="6">
        <v>729.87</v>
      </c>
      <c r="I384" s="7" t="s">
        <v>144</v>
      </c>
      <c r="J384" s="10" t="s">
        <v>145</v>
      </c>
      <c r="K384" t="str">
        <f>HYPERLINK("http://www8.mpce.mp.br/Empenhos/150501/NE/2024NE000331.pdf","2024NE000331")</f>
        <v>2024NE000331</v>
      </c>
      <c r="L384" s="13">
        <v>45000</v>
      </c>
      <c r="M384" t="s">
        <v>244</v>
      </c>
      <c r="N384">
        <v>3773788000167</v>
      </c>
    </row>
    <row r="385" spans="1:14" ht="51" x14ac:dyDescent="0.25">
      <c r="A385" s="12" t="s">
        <v>34</v>
      </c>
      <c r="B385" s="2" t="s">
        <v>592</v>
      </c>
      <c r="C385" s="3" t="str">
        <f>HYPERLINK("https://transparencia-area-fim.mpce.mp.br/#/consulta/processo/pastadigital/092021000079244","09.2021.00007924-4")</f>
        <v>09.2021.00007924-4</v>
      </c>
      <c r="D385" s="4">
        <v>45460</v>
      </c>
      <c r="E385" s="16" t="str">
        <f>HYPERLINK("https://www8.mpce.mp.br/Empenhos/150001/Objeto/27-2021.pdf","EMPENHO REF. REEMBOLSO DE IPTU DE IMÓVEL ONDE FUNCIONA SEDE DE PROMOTORIAS DE JUSTIÇA DA COMARCA DE EUSÉBIO, CONF. CONTRATO 027/2021, REF. 2024 - 2ª PARCELA.")</f>
        <v>EMPENHO REF. REEMBOLSO DE IPTU DE IMÓVEL ONDE FUNCIONA SEDE DE PROMOTORIAS DE JUSTIÇA DA COMARCA DE EUSÉBIO, CONF. CONTRATO 027/2021, REF. 2024 - 2ª PARCELA.</v>
      </c>
      <c r="F385" s="2" t="s">
        <v>252</v>
      </c>
      <c r="G385" s="5" t="str">
        <f>HYPERLINK("http://www8.mpce.mp.br/Empenhos/150501/NE/2024NE000583.pdf","2024NE000583")</f>
        <v>2024NE000583</v>
      </c>
      <c r="H385" s="6">
        <v>729.87</v>
      </c>
      <c r="I385" s="7" t="s">
        <v>144</v>
      </c>
      <c r="J385" s="10" t="s">
        <v>145</v>
      </c>
      <c r="K385" t="str">
        <f>HYPERLINK("http://www8.mpce.mp.br/Empenhos/150501/NE/2024NE000331.pdf","2024NE000331")</f>
        <v>2024NE000331</v>
      </c>
      <c r="L385" s="13">
        <v>45000</v>
      </c>
      <c r="M385" t="s">
        <v>244</v>
      </c>
      <c r="N385">
        <v>3773788000167</v>
      </c>
    </row>
    <row r="386" spans="1:14" ht="75" x14ac:dyDescent="0.25">
      <c r="A386" s="12" t="s">
        <v>34</v>
      </c>
      <c r="B386" s="2" t="s">
        <v>594</v>
      </c>
      <c r="C386" s="3" t="str">
        <f>HYPERLINK("https://transparencia-area-fim.mpce.mp.br/#/consulta/processo/pastadigital/092021000219739","09.2021.00021973-9")</f>
        <v>09.2021.00021973-9</v>
      </c>
      <c r="D386" s="4">
        <v>45460</v>
      </c>
      <c r="E386" s="17" t="str">
        <f>HYPERLINK("https://www8.mpce.mp.br/Empenhos/150001/Objeto/45-2021.pdf","EMPENHO DA 1ª PARCELA DO IPTU DE 2024, REF. AO IMÓVEL ONDE FUCIONAM AS PROMOTORIAS DE JUSTIÇA DE EUSÉBIO, LOCALIZADO NA AVENIDA EUSÉBIO DE QUEIROZ,"&amp;" 4808, CENTRO, ED. OFFICE &amp; MEDICAL CENTER EUSÉBIO (SALA TIPO B, NUMERAÇÃO 403) , CONF. CONTRATO Nº 045/2021/PGJ.")</f>
        <v>EMPENHO DA 1ª PARCELA DO IPTU DE 2024, REF. AO IMÓVEL ONDE FUCIONAM AS PROMOTORIAS DE JUSTIÇA DE EUSÉBIO, LOCALIZADO NA AVENIDA EUSÉBIO DE QUEIROZ, 4808, CENTRO, ED. OFFICE &amp; MEDICAL CENTER EUSÉBIO (SALA TIPO B, NUMERAÇÃO 403) , CONF. CONTRATO Nº 045/2021/PGJ.</v>
      </c>
      <c r="F386" s="2" t="s">
        <v>252</v>
      </c>
      <c r="G386" s="5" t="str">
        <f>HYPERLINK("http://www8.mpce.mp.br/Empenhos/150501/NE/2024NE000584.pdf","2024NE000584")</f>
        <v>2024NE000584</v>
      </c>
      <c r="H386" s="6">
        <v>152.37</v>
      </c>
      <c r="I386" s="7" t="s">
        <v>144</v>
      </c>
      <c r="J386" s="10" t="s">
        <v>145</v>
      </c>
      <c r="K386" t="str">
        <f>HYPERLINK("http://www8.mpce.mp.br/Empenhos/150501/NE/2024NE000332.pdf","2024NE000332")</f>
        <v>2024NE000332</v>
      </c>
      <c r="L386" s="13">
        <v>6216.42</v>
      </c>
      <c r="M386" t="s">
        <v>244</v>
      </c>
      <c r="N386">
        <v>3773788000167</v>
      </c>
    </row>
    <row r="387" spans="1:14" ht="75" x14ac:dyDescent="0.25">
      <c r="A387" s="12" t="s">
        <v>34</v>
      </c>
      <c r="B387" s="2" t="s">
        <v>595</v>
      </c>
      <c r="C387" s="3" t="str">
        <f>HYPERLINK("https://transparencia-area-fim.mpce.mp.br/#/consulta/processo/pastadigital/092021000219739","09.2021.00021973-9")</f>
        <v>09.2021.00021973-9</v>
      </c>
      <c r="D387" s="4">
        <v>45460</v>
      </c>
      <c r="E387" s="17" t="str">
        <f>HYPERLINK("https://www8.mpce.mp.br/Empenhos/150001/Objeto/45-2021.pdf","EMPENHO DA 2ª PARCELA DO IPTU DE 2024, REF. AO IMÓVEL ONDE FUNCIONAM AS PROMOTORIAS DE JUSTIÇA DE EUSÉBIO, LOCALIZADA NA AVENIDA EUSÉBIO DE QUEIROZ,"&amp;" 4808, CENTRO, ED. OFFICE &amp; MEDICAL CENTER EUSÉBIO (SALA TIPO B, NUMERAÇÃO 403), CONF. CONTRATO Nº 045/2021/PGJ.")</f>
        <v>EMPENHO DA 2ª PARCELA DO IPTU DE 2024, REF. AO IMÓVEL ONDE FUNCIONAM AS PROMOTORIAS DE JUSTIÇA DE EUSÉBIO, LOCALIZADA NA AVENIDA EUSÉBIO DE QUEIROZ, 4808, CENTRO, ED. OFFICE &amp; MEDICAL CENTER EUSÉBIO (SALA TIPO B, NUMERAÇÃO 403), CONF. CONTRATO Nº 045/2021/PGJ.</v>
      </c>
      <c r="F387" s="2" t="s">
        <v>252</v>
      </c>
      <c r="G387" s="5" t="str">
        <f>HYPERLINK("http://www8.mpce.mp.br/Empenhos/150501/NE/2024NE000585.pdf","2024NE000585")</f>
        <v>2024NE000585</v>
      </c>
      <c r="H387" s="6">
        <v>152.37</v>
      </c>
      <c r="I387" s="7" t="s">
        <v>144</v>
      </c>
      <c r="J387" s="10" t="s">
        <v>145</v>
      </c>
      <c r="K387" t="str">
        <f>HYPERLINK("http://www8.mpce.mp.br/Empenhos/150501/NE/2024NE000334.pdf","2024NE000334")</f>
        <v>2024NE000334</v>
      </c>
      <c r="L387" s="13">
        <v>65600</v>
      </c>
      <c r="M387" t="s">
        <v>113</v>
      </c>
      <c r="N387">
        <v>2593165000140</v>
      </c>
    </row>
    <row r="388" spans="1:14" ht="51" x14ac:dyDescent="0.25">
      <c r="A388" s="12" t="s">
        <v>34</v>
      </c>
      <c r="B388" s="2" t="s">
        <v>596</v>
      </c>
      <c r="C388" s="3" t="str">
        <f>HYPERLINK("https://transparencia-area-fim.mpce.mp.br/#/consulta/processo/pastadigital/092021000219739","09.2021.00021973-9")</f>
        <v>09.2021.00021973-9</v>
      </c>
      <c r="D388" s="4">
        <v>45460</v>
      </c>
      <c r="E388" s="16" t="str">
        <f>HYPERLINK("https://www8.mpce.mp.br/Empenhos/150001/Objeto/45-2021.pdf","TAXAS CONDOMINIAIS DE IMÓVEL ONDE FUNCIONA SEDE DE PROMOTORIAS DE JUSTIÇA DA COMARCA DE EUSÉBIO, CONF. CONTRATO 045/2021, REF. JUL, AGO E SET/2024, POR ESTIMATIVA.")</f>
        <v>TAXAS CONDOMINIAIS DE IMÓVEL ONDE FUNCIONA SEDE DE PROMOTORIAS DE JUSTIÇA DA COMARCA DE EUSÉBIO, CONF. CONTRATO 045/2021, REF. JUL, AGO E SET/2024, POR ESTIMATIVA.</v>
      </c>
      <c r="F388" s="2" t="s">
        <v>231</v>
      </c>
      <c r="G388" s="5" t="str">
        <f>HYPERLINK("http://www8.mpce.mp.br/Empenhos/150501/NE/2024NE000586.pdf","2024NE000586")</f>
        <v>2024NE000586</v>
      </c>
      <c r="H388" s="6">
        <v>1387.47</v>
      </c>
      <c r="I388" s="7" t="s">
        <v>144</v>
      </c>
      <c r="J388" s="10" t="s">
        <v>145</v>
      </c>
      <c r="K388" t="str">
        <f>HYPERLINK("http://www8.mpce.mp.br/Empenhos/150501/NE/2024NE000340.pdf","2024NE000340")</f>
        <v>2024NE000340</v>
      </c>
      <c r="L388">
        <v>900</v>
      </c>
      <c r="M388" t="s">
        <v>257</v>
      </c>
      <c r="N388">
        <v>33757000181</v>
      </c>
    </row>
    <row r="389" spans="1:14" ht="90" x14ac:dyDescent="0.25">
      <c r="A389" s="12" t="s">
        <v>34</v>
      </c>
      <c r="B389" s="2" t="s">
        <v>597</v>
      </c>
      <c r="C389" s="3" t="str">
        <f>HYPERLINK("https://transparencia-area-fim.mpce.mp.br/#/consulta/processo/pastadigital/092024000190180","09.2024.00019018-0")</f>
        <v>09.2024.00019018-0</v>
      </c>
      <c r="D389" s="4">
        <v>45460</v>
      </c>
      <c r="E389" s="17" t="str">
        <f>HYPERLINK("https://www8.mpce.mp.br/Empenhos/150001/Objeto/16-2017.pdf","EMPENHO DA 5ª PARCELA DA TMRSU DE 2024, REF. AO IMÓVEL ONDE FUNCIONAM AS PROMOTORIAS DE JUSTIÇA CRIMINAIS DA COMARCA DE FORTALEZA, LOCALIZADA A AVENIDA CORONEL JOSÉ PHILOMENO,"&amp;" N° 222, BAIRRO ENGENHEIRO LUCIANO CAVALCANTE, FORTALEZA-CE, CONF. CONTRATO Nº 016/2017/PGJ.")</f>
        <v>EMPENHO DA 5ª PARCELA DA TMRSU DE 2024, REF. AO IMÓVEL ONDE FUNCIONAM AS PROMOTORIAS DE JUSTIÇA CRIMINAIS DA COMARCA DE FORTALEZA, LOCALIZADA A AVENIDA CORONEL JOSÉ PHILOMENO, N° 222, BAIRRO ENGENHEIRO LUCIANO CAVALCANTE, FORTALEZA-CE, CONF. CONTRATO Nº 016/2017/PGJ.</v>
      </c>
      <c r="F389" s="2" t="s">
        <v>252</v>
      </c>
      <c r="G389" s="5" t="str">
        <f>HYPERLINK("http://www8.mpce.mp.br/Empenhos/150501/NE/2024NE000587.pdf","2024NE000587")</f>
        <v>2024NE000587</v>
      </c>
      <c r="H389" s="6">
        <v>152.32</v>
      </c>
      <c r="I389" s="7" t="s">
        <v>158</v>
      </c>
      <c r="J389" s="10" t="s">
        <v>159</v>
      </c>
      <c r="K389" t="str">
        <f>HYPERLINK("http://www8.mpce.mp.br/Empenhos/150501/NE/2024NE000341.pdf","2024NE000341")</f>
        <v>2024NE000341</v>
      </c>
      <c r="L389" s="13">
        <v>21000</v>
      </c>
      <c r="M389" t="s">
        <v>263</v>
      </c>
      <c r="N389">
        <v>3888247000184</v>
      </c>
    </row>
    <row r="390" spans="1:14" ht="51" x14ac:dyDescent="0.25">
      <c r="A390" s="12" t="s">
        <v>34</v>
      </c>
      <c r="B390" s="2" t="s">
        <v>598</v>
      </c>
      <c r="C390" s="3" t="str">
        <f>HYPERLINK("https://transparencia-area-fim.mpce.mp.br/#/consulta/processo/pastadigital/092021000155016","09.2021.00015501-6")</f>
        <v>09.2021.00015501-6</v>
      </c>
      <c r="D390" s="4">
        <v>45460</v>
      </c>
      <c r="E390" s="16" t="str">
        <f>HYPERLINK("https://www8.mpce.mp.br/Empenhos/150001/Objeto/26-2021.pdf","EMPENHO REF. LOCAÇÃO DE IMÓVEL SITUADO EM BREJO SANTO-CE, ONDE FUNCIONA SEDE DE PROMOTORIAS DE JUSTIÇA DAQUELA COMARCA, CONF. CONTRATO 026/2021, REF. JUL, AGO E SET/2024, POR ESTIMATIVA.")</f>
        <v>EMPENHO REF. LOCAÇÃO DE IMÓVEL SITUADO EM BREJO SANTO-CE, ONDE FUNCIONA SEDE DE PROMOTORIAS DE JUSTIÇA DAQUELA COMARCA, CONF. CONTRATO 026/2021, REF. JUL, AGO E SET/2024, POR ESTIMATIVA.</v>
      </c>
      <c r="F390" s="2" t="s">
        <v>161</v>
      </c>
      <c r="G390" s="5" t="str">
        <f>HYPERLINK("http://www8.mpce.mp.br/Empenhos/150501/NE/2024NE000588.pdf","2024NE000588")</f>
        <v>2024NE000588</v>
      </c>
      <c r="H390" s="6">
        <v>7804.65</v>
      </c>
      <c r="I390" s="7" t="s">
        <v>203</v>
      </c>
      <c r="J390" s="10" t="s">
        <v>204</v>
      </c>
      <c r="K390" t="str">
        <f>HYPERLINK("http://www8.mpce.mp.br/Empenhos/150501/NE/2024NE000342.pdf","2024NE000342")</f>
        <v>2024NE000342</v>
      </c>
      <c r="L390" s="13">
        <v>2619.0100000000002</v>
      </c>
      <c r="M390" t="s">
        <v>158</v>
      </c>
      <c r="N390">
        <v>5569807000163</v>
      </c>
    </row>
    <row r="391" spans="1:14" ht="51" x14ac:dyDescent="0.25">
      <c r="A391" s="12" t="s">
        <v>9</v>
      </c>
      <c r="B391" s="2" t="s">
        <v>599</v>
      </c>
      <c r="C391" s="3" t="str">
        <f>HYPERLINK("https://transparencia-area-fim.mpce.mp.br/#/consulta/processo/pastadigital/092023000214163","09.2023.00021416-3")</f>
        <v>09.2023.00021416-3</v>
      </c>
      <c r="D391" s="4">
        <v>45460</v>
      </c>
      <c r="E391" s="16" t="str">
        <f>HYPERLINK("https://www8.mpce.mp.br/Empenhos/150001/Objeto/56-2023.pdf","EMPENHO DOS ALUGUÉIS DOS MESES DE JULHO A SETEMBRO DE 2024, REF. AO IMÓVEL ONDE FUNCIONAM AS PROMOTORIAS DE JUSTIÇA DA COMARCA DE BATURITÉ, CONF. CONTRATO DE LOCAÇÃO: 056/2023/PGJ.")</f>
        <v>EMPENHO DOS ALUGUÉIS DOS MESES DE JULHO A SETEMBRO DE 2024, REF. AO IMÓVEL ONDE FUNCIONAM AS PROMOTORIAS DE JUSTIÇA DA COMARCA DE BATURITÉ, CONF. CONTRATO DE LOCAÇÃO: 056/2023/PGJ.</v>
      </c>
      <c r="F391" s="2" t="s">
        <v>116</v>
      </c>
      <c r="G391" s="5" t="str">
        <f>HYPERLINK("http://www8.mpce.mp.br/Empenhos/150501/NE/2024NE000589.pdf","2024NE000589")</f>
        <v>2024NE000589</v>
      </c>
      <c r="H391" s="6">
        <v>16200</v>
      </c>
      <c r="I391" s="7" t="s">
        <v>156</v>
      </c>
      <c r="J391" s="10" t="s">
        <v>157</v>
      </c>
      <c r="K391" t="str">
        <f>HYPERLINK("http://www8.mpce.mp.br/Empenhos/150501/NE/2024NE000343.pdf","2024NE000343")</f>
        <v>2024NE000343</v>
      </c>
      <c r="L391">
        <v>152.32</v>
      </c>
      <c r="M391" t="s">
        <v>158</v>
      </c>
      <c r="N391">
        <v>5569807000163</v>
      </c>
    </row>
    <row r="392" spans="1:14" ht="51" x14ac:dyDescent="0.25">
      <c r="A392" s="12" t="s">
        <v>9</v>
      </c>
      <c r="B392" s="2" t="s">
        <v>600</v>
      </c>
      <c r="C392" s="3" t="str">
        <f>HYPERLINK("https://transparencia-area-fim.mpce.mp.br/#/consulta/processo/pastadigital/092022000371847","09.2022.00037184-7")</f>
        <v>09.2022.00037184-7</v>
      </c>
      <c r="D392" s="4">
        <v>45460</v>
      </c>
      <c r="E392" s="16" t="str">
        <f>HYPERLINK("https://www8.mpce.mp.br/Empenhos/150001/Objeto/44-2023.pdf","EMPENHO DOS ALUGUÉIS DOS MESES DE JULHO A SETEMBRO DE 2024, REF. AO IMÓVEL ONDE FUNCIONAM AS PROMOTORIAS DE JUSTIÇA DA COMARCA DE MARCO, RELATIVO AO CONTRATO Nº 044/2023/PGJ.")</f>
        <v>EMPENHO DOS ALUGUÉIS DOS MESES DE JULHO A SETEMBRO DE 2024, REF. AO IMÓVEL ONDE FUNCIONAM AS PROMOTORIAS DE JUSTIÇA DA COMARCA DE MARCO, RELATIVO AO CONTRATO Nº 044/2023/PGJ.</v>
      </c>
      <c r="F392" s="2" t="s">
        <v>161</v>
      </c>
      <c r="G392" s="5" t="str">
        <f>HYPERLINK("http://www8.mpce.mp.br/Empenhos/150501/NE/2024NE000590.pdf","2024NE000590")</f>
        <v>2024NE000590</v>
      </c>
      <c r="H392" s="6">
        <v>3600</v>
      </c>
      <c r="I392" s="7" t="s">
        <v>182</v>
      </c>
      <c r="J392" s="10" t="s">
        <v>183</v>
      </c>
      <c r="K392" t="str">
        <f>HYPERLINK("http://www8.mpce.mp.br/Empenhos/150501/NE/2024NE000344.pdf","2024NE000344")</f>
        <v>2024NE000344</v>
      </c>
      <c r="L392" s="13">
        <v>136479.79</v>
      </c>
      <c r="M392" t="s">
        <v>72</v>
      </c>
      <c r="N392">
        <v>82845322000104</v>
      </c>
    </row>
    <row r="393" spans="1:14" ht="51" x14ac:dyDescent="0.25">
      <c r="A393" s="12" t="s">
        <v>34</v>
      </c>
      <c r="B393" s="2" t="s">
        <v>601</v>
      </c>
      <c r="C393" s="3" t="str">
        <f>HYPERLINK("https://transparencia-area-fim.mpce.mp.br/#/consulta/processo/pastadigital/092021000047808","09.2021.00004780-8")</f>
        <v>09.2021.00004780-8</v>
      </c>
      <c r="D393" s="4">
        <v>45460</v>
      </c>
      <c r="E393" s="16" t="str">
        <f>HYPERLINK("https://www8.mpce.mp.br/Empenhos/150001/Objeto/25-2021.pdf","EMPENHO REF. LOCAÇÃO DE IMÓVEL SITUADO EM ALTO SANTO-CE, ONDE FUNCIONA SEDE DE PROMOTORIAS DE JUSTIÇA DAQUELA COMARCA, CONF. CONTRATO 025/2021, REF. JUL, AGO E SET/2024, POR ESTIMATIVA.")</f>
        <v>EMPENHO REF. LOCAÇÃO DE IMÓVEL SITUADO EM ALTO SANTO-CE, ONDE FUNCIONA SEDE DE PROMOTORIAS DE JUSTIÇA DAQUELA COMARCA, CONF. CONTRATO 025/2021, REF. JUL, AGO E SET/2024, POR ESTIMATIVA.</v>
      </c>
      <c r="F393" s="2" t="s">
        <v>161</v>
      </c>
      <c r="G393" s="5" t="str">
        <f>HYPERLINK("http://www8.mpce.mp.br/Empenhos/150501/NE/2024NE000591.pdf","2024NE000591")</f>
        <v>2024NE000591</v>
      </c>
      <c r="H393" s="6">
        <v>4953.45</v>
      </c>
      <c r="I393" s="7" t="s">
        <v>207</v>
      </c>
      <c r="J393" s="10" t="s">
        <v>208</v>
      </c>
      <c r="K393" t="str">
        <f>HYPERLINK("http://www8.mpce.mp.br/Empenhos/150501/NE/2024NE000344.pdf","2024NE000344")</f>
        <v>2024NE000344</v>
      </c>
      <c r="L393" s="13">
        <v>136479.79</v>
      </c>
      <c r="M393" t="s">
        <v>72</v>
      </c>
      <c r="N393">
        <v>82845322000104</v>
      </c>
    </row>
    <row r="394" spans="1:14" ht="51" x14ac:dyDescent="0.25">
      <c r="A394" s="12" t="s">
        <v>9</v>
      </c>
      <c r="B394" s="2" t="s">
        <v>370</v>
      </c>
      <c r="C394" s="3" t="str">
        <f>HYPERLINK("https://transparencia-area-fim.mpce.mp.br/#/consulta/processo/pastadigital/092022000409094","09.2022.00040909-4")</f>
        <v>09.2022.00040909-4</v>
      </c>
      <c r="D394" s="4">
        <v>45460</v>
      </c>
      <c r="E394" s="16" t="str">
        <f>HYPERLINK("https://www8.mpce.mp.br/Empenhos/150001/Objeto/41-2023.pdf","EMPENHO DOS ALUGUÉIS DOS MESES DE JULHO A SETEMBRO DE 2024, REF. AO IMÓVEL ONDE FUNCIONAM AS PROMOTORIAS DE JUSTIÇA DA COMARCA DE GUARACIABA DO NORTE, CONF. CONTRATO Nº 041/2023/PGJ.")</f>
        <v>EMPENHO DOS ALUGUÉIS DOS MESES DE JULHO A SETEMBRO DE 2024, REF. AO IMÓVEL ONDE FUNCIONAM AS PROMOTORIAS DE JUSTIÇA DA COMARCA DE GUARACIABA DO NORTE, CONF. CONTRATO Nº 041/2023/PGJ.</v>
      </c>
      <c r="F394" s="2" t="s">
        <v>161</v>
      </c>
      <c r="G394" s="5" t="str">
        <f>HYPERLINK("http://www8.mpce.mp.br/Empenhos/150501/NE/2024NE000592.pdf","2024NE000592")</f>
        <v>2024NE000592</v>
      </c>
      <c r="H394" s="6">
        <v>4650</v>
      </c>
      <c r="I394" s="7" t="s">
        <v>184</v>
      </c>
      <c r="J394" s="10" t="s">
        <v>185</v>
      </c>
      <c r="K394" t="str">
        <f>HYPERLINK("http://www8.mpce.mp.br/Empenhos/150501/NE/2024NE000344.pdf","2024NE000344")</f>
        <v>2024NE000344</v>
      </c>
      <c r="L394" s="13">
        <v>136479.79</v>
      </c>
      <c r="M394" t="s">
        <v>72</v>
      </c>
      <c r="N394">
        <v>82845322000104</v>
      </c>
    </row>
    <row r="395" spans="1:14" ht="63.75" x14ac:dyDescent="0.25">
      <c r="A395" s="12" t="s">
        <v>34</v>
      </c>
      <c r="B395" s="2" t="s">
        <v>602</v>
      </c>
      <c r="C395" s="3" t="str">
        <f>HYPERLINK("https://transparencia-area-fim.mpce.mp.br/#/consulta/processo/pastadigital/092022000343818","09.2022.00034381-8")</f>
        <v>09.2022.00034381-8</v>
      </c>
      <c r="D395" s="4">
        <v>45460</v>
      </c>
      <c r="E395" s="16" t="str">
        <f>HYPERLINK("https://www8.mpce.mp.br/Empenhos/150001/Objeto/24-2023.pdf","EMPENHO REF. REEMBOLSO DE IPTU DE TERRENO SITUADO EM ITAPIPOCA-CE, ONDE FUNCIONA SEDE DE PROMOTORIAS DE JUSTIÇA DAQUELA COMARCA, CONF. CONSTA NO CONTRATO 024/2023, REF. 2024 - PARCELA ÚNICA.")</f>
        <v>EMPENHO REF. REEMBOLSO DE IPTU DE TERRENO SITUADO EM ITAPIPOCA-CE, ONDE FUNCIONA SEDE DE PROMOTORIAS DE JUSTIÇA DAQUELA COMARCA, CONF. CONSTA NO CONTRATO 024/2023, REF. 2024 - PARCELA ÚNICA.</v>
      </c>
      <c r="F395" s="2" t="s">
        <v>252</v>
      </c>
      <c r="G395" s="5" t="str">
        <f>HYPERLINK("http://www8.mpce.mp.br/Empenhos/150501/NE/2024NE000593.pdf","2024NE000593")</f>
        <v>2024NE000593</v>
      </c>
      <c r="H395" s="6">
        <v>148.52000000000001</v>
      </c>
      <c r="I395" s="7" t="s">
        <v>240</v>
      </c>
      <c r="J395" s="10" t="s">
        <v>241</v>
      </c>
      <c r="K395" t="str">
        <f>HYPERLINK("http://www8.mpce.mp.br/Empenhos/150501/NE/2024NE000344.pdf","2024NE000344")</f>
        <v>2024NE000344</v>
      </c>
      <c r="L395" s="13">
        <v>136479.79</v>
      </c>
      <c r="M395" t="s">
        <v>72</v>
      </c>
      <c r="N395">
        <v>82845322000104</v>
      </c>
    </row>
    <row r="396" spans="1:14" ht="51" x14ac:dyDescent="0.25">
      <c r="A396" s="12" t="s">
        <v>9</v>
      </c>
      <c r="B396" s="2" t="s">
        <v>301</v>
      </c>
      <c r="C396" s="3" t="str">
        <f>HYPERLINK("https://transparencia-area-fim.mpce.mp.br/#/consulta/processo/pastadigital/092022000083885","09.2022.00008388-5")</f>
        <v>09.2022.00008388-5</v>
      </c>
      <c r="D396" s="4">
        <v>45460</v>
      </c>
      <c r="E396" s="16" t="str">
        <f>HYPERLINK("https://www8.mpce.mp.br/Empenhos/150001/Objeto/36-2023.pdf","EMPENHO DOS ALUGUÉIS DOS MESES DE JULHO A SETEMBRO DE 2024, RE. AO IMÓVEL ONDE FUNCIONA AS PROMOTORIAS DE JUSTIÇA DA COMARCA DE SOLONÓPOLE, CONF. CONTRATO DE LOCAÇÃO: 036/2023/PGJ.")</f>
        <v>EMPENHO DOS ALUGUÉIS DOS MESES DE JULHO A SETEMBRO DE 2024, RE. AO IMÓVEL ONDE FUNCIONA AS PROMOTORIAS DE JUSTIÇA DA COMARCA DE SOLONÓPOLE, CONF. CONTRATO DE LOCAÇÃO: 036/2023/PGJ.</v>
      </c>
      <c r="F396" s="2" t="s">
        <v>161</v>
      </c>
      <c r="G396" s="5" t="str">
        <f>HYPERLINK("http://www8.mpce.mp.br/Empenhos/150501/NE/2024NE000594.pdf","2024NE000594")</f>
        <v>2024NE000594</v>
      </c>
      <c r="H396" s="6">
        <v>11691.72</v>
      </c>
      <c r="I396" s="7" t="s">
        <v>188</v>
      </c>
      <c r="J396" s="10" t="s">
        <v>189</v>
      </c>
      <c r="K396" t="str">
        <f>HYPERLINK("http://www8.mpce.mp.br/Empenhos/150501/NE/2024NE000344.pdf","2024NE000344")</f>
        <v>2024NE000344</v>
      </c>
      <c r="L396" s="13">
        <v>136479.79</v>
      </c>
      <c r="M396" t="s">
        <v>72</v>
      </c>
      <c r="N396">
        <v>82845322000104</v>
      </c>
    </row>
    <row r="397" spans="1:14" ht="51" x14ac:dyDescent="0.25">
      <c r="A397" s="12" t="s">
        <v>9</v>
      </c>
      <c r="B397" s="2" t="s">
        <v>369</v>
      </c>
      <c r="C397" s="3" t="str">
        <f>HYPERLINK("https://transparencia-area-fim.mpce.mp.br/#/consulta/processo/pastadigital/092022000426227","09.2022.00042622-7")</f>
        <v>09.2022.00042622-7</v>
      </c>
      <c r="D397" s="4">
        <v>45460</v>
      </c>
      <c r="E397" s="16" t="str">
        <f>HYPERLINK("https://www8.mpce.mp.br/Empenhos/150001/Objeto/33-2023.pdf","EMPENHO DOS ALUGUÉIS DOS MESES DE JULHO A SETEMBRO DE 2024, REF. AO IMÓVEL ONDE FUNCIONAM AS PROMOTORIAS DE JUSTIÇA DA COMARCA DE JUCÁS, CONF. CONTRATO Nº 033/2023/PGJ.")</f>
        <v>EMPENHO DOS ALUGUÉIS DOS MESES DE JULHO A SETEMBRO DE 2024, REF. AO IMÓVEL ONDE FUNCIONAM AS PROMOTORIAS DE JUSTIÇA DA COMARCA DE JUCÁS, CONF. CONTRATO Nº 033/2023/PGJ.</v>
      </c>
      <c r="F397" s="2" t="s">
        <v>161</v>
      </c>
      <c r="G397" s="5" t="str">
        <f>HYPERLINK("http://www8.mpce.mp.br/Empenhos/150501/NE/2024NE000595.pdf","2024NE000595")</f>
        <v>2024NE000595</v>
      </c>
      <c r="H397" s="6">
        <v>7500</v>
      </c>
      <c r="I397" s="7" t="s">
        <v>195</v>
      </c>
      <c r="J397" s="10" t="s">
        <v>196</v>
      </c>
      <c r="K397" t="str">
        <f>HYPERLINK("http://www8.mpce.mp.br/Empenhos/150501/NE/2024NE000347.pdf","2024NE000347")</f>
        <v>2024NE000347</v>
      </c>
      <c r="L397" s="13">
        <v>73489.119999999995</v>
      </c>
      <c r="M397" t="s">
        <v>72</v>
      </c>
      <c r="N397">
        <v>82845322000104</v>
      </c>
    </row>
    <row r="398" spans="1:14" ht="51" x14ac:dyDescent="0.25">
      <c r="A398" s="12" t="s">
        <v>34</v>
      </c>
      <c r="B398" s="2" t="s">
        <v>483</v>
      </c>
      <c r="C398" s="3" t="str">
        <f>HYPERLINK("https://transparencia-area-fim.mpce.mp.br/#/consulta/processo/pastadigital/092022000110511","09.2022.00011051-1")</f>
        <v>09.2022.00011051-1</v>
      </c>
      <c r="D398" s="4">
        <v>45460</v>
      </c>
      <c r="E398" s="16" t="str">
        <f>HYPERLINK("https://www8.mpce.mp.br/Empenhos/150001/Objeto/38-2022.pdf","EMPENHO DOS ALUGUÉIS DOS MESES DE JULHO A SETEMBRO DE 2024, REF. AO IMÓVEL ONDE FUNCIONAM AS PROMOTORIAS DE JUSTIÇA DA COMARCA DE NOVA OLINDA, CONF. CONTRATO Nº 038/2022/PGJ.")</f>
        <v>EMPENHO DOS ALUGUÉIS DOS MESES DE JULHO A SETEMBRO DE 2024, REF. AO IMÓVEL ONDE FUNCIONAM AS PROMOTORIAS DE JUSTIÇA DA COMARCA DE NOVA OLINDA, CONF. CONTRATO Nº 038/2022/PGJ.</v>
      </c>
      <c r="F398" s="2" t="s">
        <v>161</v>
      </c>
      <c r="G398" s="5" t="str">
        <f>HYPERLINK("http://www8.mpce.mp.br/Empenhos/150501/NE/2024NE000596.pdf","2024NE000596")</f>
        <v>2024NE000596</v>
      </c>
      <c r="H398" s="6">
        <v>6000</v>
      </c>
      <c r="I398" s="7" t="s">
        <v>229</v>
      </c>
      <c r="J398" s="10" t="s">
        <v>230</v>
      </c>
      <c r="K398" t="str">
        <f>HYPERLINK("http://www8.mpce.mp.br/Empenhos/150501/NE/2024NE000347.pdf","2024NE000347")</f>
        <v>2024NE000347</v>
      </c>
      <c r="L398" s="13">
        <v>73489.119999999995</v>
      </c>
      <c r="M398" t="s">
        <v>72</v>
      </c>
      <c r="N398">
        <v>82845322000104</v>
      </c>
    </row>
    <row r="399" spans="1:14" ht="51" x14ac:dyDescent="0.25">
      <c r="A399" s="12" t="s">
        <v>34</v>
      </c>
      <c r="B399" s="2" t="s">
        <v>603</v>
      </c>
      <c r="C399" s="3" t="str">
        <f>HYPERLINK("https://transparencia-area-fim.mpce.mp.br/#/consulta/processo/pastadigital/092022000276145","09.2022.00027614-5")</f>
        <v>09.2022.00027614-5</v>
      </c>
      <c r="D399" s="4">
        <v>45460</v>
      </c>
      <c r="E399" s="16" t="str">
        <f>HYPERLINK("https://www8.mpce.mp.br/Empenhos/150001/Objeto/36-2022.pdf","EMPENHO REF. LOCAÇÃO DE IMÓVEL SITUADO EM ARARIPE-CE, ONDE FUNCIONA SEDE DE PROMOTORIAS DE JUSTIÇA DAQUELA COMARCA, CONF. CONTRATO 036/2022, REF. JUL, AGO E SET/2024, POR ESTIMATIVA.")</f>
        <v>EMPENHO REF. LOCAÇÃO DE IMÓVEL SITUADO EM ARARIPE-CE, ONDE FUNCIONA SEDE DE PROMOTORIAS DE JUSTIÇA DAQUELA COMARCA, CONF. CONTRATO 036/2022, REF. JUL, AGO E SET/2024, POR ESTIMATIVA.</v>
      </c>
      <c r="F399" s="2" t="s">
        <v>161</v>
      </c>
      <c r="G399" s="5" t="str">
        <f>HYPERLINK("http://www8.mpce.mp.br/Empenhos/150501/NE/2024NE000597.pdf","2024NE000597")</f>
        <v>2024NE000597</v>
      </c>
      <c r="H399" s="6">
        <v>4500</v>
      </c>
      <c r="I399" s="7" t="s">
        <v>191</v>
      </c>
      <c r="J399" s="10" t="s">
        <v>192</v>
      </c>
      <c r="K399" t="str">
        <f>HYPERLINK("http://www8.mpce.mp.br/Empenhos/150501/NE/2024NE000347.pdf","2024NE000347")</f>
        <v>2024NE000347</v>
      </c>
      <c r="L399" s="13">
        <v>73489.119999999995</v>
      </c>
      <c r="M399" t="s">
        <v>72</v>
      </c>
      <c r="N399">
        <v>82845322000104</v>
      </c>
    </row>
    <row r="400" spans="1:14" ht="63.75" x14ac:dyDescent="0.25">
      <c r="A400" s="12" t="s">
        <v>34</v>
      </c>
      <c r="B400" s="2" t="s">
        <v>604</v>
      </c>
      <c r="C400" s="3" t="str">
        <f>HYPERLINK("https://transparencia-area-fim.mpce.mp.br/#/consulta/processo/pastadigital/092022000091296","09.2022.00009129-6")</f>
        <v>09.2022.00009129-6</v>
      </c>
      <c r="D400" s="4">
        <v>45460</v>
      </c>
      <c r="E400" s="16" t="str">
        <f>HYPERLINK("https://www8.mpce.mp.br/Empenhos/150001/Objeto/33-2022.pdf","EMPENHO REF. LOCAÇÃO DE IMÓVEL SITUADO EM VÁRZEA ALEGRE-CE, ONDE FUNCIONA SEDE DE PROMOTORIAS DE JUSTIÇA DAQUELA COMARCA, CONF. CONSTA NO CONTRATO 033/2022, REF. JUL, AGO E SET/2024, POR ESTIMATIVA.")</f>
        <v>EMPENHO REF. LOCAÇÃO DE IMÓVEL SITUADO EM VÁRZEA ALEGRE-CE, ONDE FUNCIONA SEDE DE PROMOTORIAS DE JUSTIÇA DAQUELA COMARCA, CONF. CONSTA NO CONTRATO 033/2022, REF. JUL, AGO E SET/2024, POR ESTIMATIVA.</v>
      </c>
      <c r="F400" s="2" t="s">
        <v>161</v>
      </c>
      <c r="G400" s="5" t="str">
        <f>HYPERLINK("http://www8.mpce.mp.br/Empenhos/150501/NE/2024NE000599.pdf","2024NE000599")</f>
        <v>2024NE000599</v>
      </c>
      <c r="H400" s="6">
        <v>2400</v>
      </c>
      <c r="I400" s="7" t="s">
        <v>197</v>
      </c>
      <c r="J400" s="10" t="s">
        <v>198</v>
      </c>
      <c r="K400" t="str">
        <f>HYPERLINK("http://www8.mpce.mp.br/Empenhos/150501/NE/2024NE000347.pdf","2024NE000347")</f>
        <v>2024NE000347</v>
      </c>
      <c r="L400" s="13">
        <v>73489.119999999995</v>
      </c>
      <c r="M400" t="s">
        <v>72</v>
      </c>
      <c r="N400">
        <v>82845322000104</v>
      </c>
    </row>
    <row r="401" spans="1:14" ht="90" x14ac:dyDescent="0.25">
      <c r="A401" s="12" t="s">
        <v>9</v>
      </c>
      <c r="B401" s="2" t="s">
        <v>605</v>
      </c>
      <c r="C401" s="3" t="str">
        <f>HYPERLINK("https://transparencia-area-fim.mpce.mp.br/#/consulta/processo/pastadigital/092024000132080","09.2024.00013208-0")</f>
        <v>09.2024.00013208-0</v>
      </c>
      <c r="D401" s="4">
        <v>45462</v>
      </c>
      <c r="E401" s="17" t="str">
        <f>HYPERLINK("https://www8.mpce.mp.br/Empenhos/150001/Objeto/40-2024.pdf","EMPENHO REF. LICENÇA DE USO DO SOFTWARE CELLEBRITE GUARDIAN, INCLUINDO ACESSO NA NUVEM, COM 36 (TRINTA E SEIS) MESES DE MANUTENÇÃO, SUPORTE"&amp;" E REPASSE DE CONHECIMENTO DA SOLUÇÃO, POR INEXIGIBILIDADE DE LICITAÇÃO, CONF. CONTRATO 040/2024 E ORDEM DE FORNECIMENTO 002/2024/NATI.")</f>
        <v>EMPENHO REF. LICENÇA DE USO DO SOFTWARE CELLEBRITE GUARDIAN, INCLUINDO ACESSO NA NUVEM, COM 36 (TRINTA E SEIS) MESES DE MANUTENÇÃO, SUPORTE E REPASSE DE CONHECIMENTO DA SOLUÇÃO, POR INEXIGIBILIDADE DE LICITAÇÃO, CONF. CONTRATO 040/2024 E ORDEM DE FORNECIMENTO 002/2024/NATI.</v>
      </c>
      <c r="F401" s="2" t="s">
        <v>109</v>
      </c>
      <c r="G401" s="5" t="str">
        <f>HYPERLINK("http://www8.mpce.mp.br/Empenhos/150501/NE/2024NE000603.pdf","2024NE000603")</f>
        <v>2024NE000603</v>
      </c>
      <c r="H401" s="6">
        <v>1350000</v>
      </c>
      <c r="I401" s="7" t="s">
        <v>247</v>
      </c>
      <c r="J401" s="10" t="s">
        <v>248</v>
      </c>
      <c r="K401" t="str">
        <f>HYPERLINK("http://www8.mpce.mp.br/Empenhos/150501/NE/2024NE000347.pdf","2024NE000347")</f>
        <v>2024NE000347</v>
      </c>
      <c r="L401" s="13">
        <v>73489.119999999995</v>
      </c>
      <c r="M401" t="s">
        <v>72</v>
      </c>
      <c r="N401">
        <v>82845322000104</v>
      </c>
    </row>
    <row r="402" spans="1:14" ht="51" x14ac:dyDescent="0.25">
      <c r="A402" s="12" t="s">
        <v>34</v>
      </c>
      <c r="B402" s="2" t="s">
        <v>606</v>
      </c>
      <c r="C402" s="3" t="str">
        <f>HYPERLINK("http://www8.mpce.mp.br/Dispensa/2330020195.pdf","23300/2019-5")</f>
        <v>23300/2019-5</v>
      </c>
      <c r="D402" s="4">
        <v>45464</v>
      </c>
      <c r="E402" s="16" t="str">
        <f>HYPERLINK("https://www8.mpce.mp.br/Empenhos/150001/Objeto/61-2019.pdf","EMPENHO REF. LOCAÇÃO DE IMÓVEL SITUADO EM ACARAÚ-CE, ONDE FUNCIONA SEDE DE PROMOTORIAS DE JUSTIÇA DAQUELA COMARCA, CONF. CONTRATO 061/2019, REF. JUL, AGO E SET/2024, POR ESTIMATIVA.")</f>
        <v>EMPENHO REF. LOCAÇÃO DE IMÓVEL SITUADO EM ACARAÚ-CE, ONDE FUNCIONA SEDE DE PROMOTORIAS DE JUSTIÇA DAQUELA COMARCA, CONF. CONTRATO 061/2019, REF. JUL, AGO E SET/2024, POR ESTIMATIVA.</v>
      </c>
      <c r="F402" s="2" t="s">
        <v>161</v>
      </c>
      <c r="G402" s="5" t="str">
        <f>HYPERLINK("http://www8.mpce.mp.br/Empenhos/150501/NE/2024NE000617.pdf","2024NE000617")</f>
        <v>2024NE000617</v>
      </c>
      <c r="H402" s="6">
        <v>4200</v>
      </c>
      <c r="I402" s="7" t="s">
        <v>173</v>
      </c>
      <c r="J402" s="10" t="s">
        <v>174</v>
      </c>
      <c r="K402" t="str">
        <f>HYPERLINK("http://www8.mpce.mp.br/Empenhos/150501/NE/2024NE000348.pdf","2024NE000348")</f>
        <v>2024NE000348</v>
      </c>
      <c r="L402" s="13">
        <v>22627.360000000001</v>
      </c>
      <c r="M402" t="s">
        <v>72</v>
      </c>
      <c r="N402">
        <v>82845322000104</v>
      </c>
    </row>
    <row r="403" spans="1:14" ht="38.25" x14ac:dyDescent="0.25">
      <c r="A403" s="12" t="s">
        <v>9</v>
      </c>
      <c r="B403" s="2" t="s">
        <v>80</v>
      </c>
      <c r="C403" s="3" t="str">
        <f>HYPERLINK("https://transparencia-area-fim.mpce.mp.br/#/consulta/processo/pastadigital/092024000108657","09.2024.00010865-7")</f>
        <v>09.2024.00010865-7</v>
      </c>
      <c r="D403" s="4">
        <v>45378</v>
      </c>
      <c r="E403" s="16" t="s">
        <v>425</v>
      </c>
      <c r="F403" s="2" t="s">
        <v>59</v>
      </c>
      <c r="G403" s="5" t="str">
        <f>HYPERLINK("http://www8.mpce.mp.br/Empenhos/150001/NE/2024NE000619.pdf","2024NE000619")</f>
        <v>2024NE000619</v>
      </c>
      <c r="H403" s="6">
        <v>117.84</v>
      </c>
      <c r="I403" s="7" t="s">
        <v>92</v>
      </c>
      <c r="J403" s="10" t="s">
        <v>93</v>
      </c>
      <c r="K403" t="str">
        <f>HYPERLINK("http://www8.mpce.mp.br/Empenhos/150501/NE/2024NE000348.pdf","2024NE000348")</f>
        <v>2024NE000348</v>
      </c>
      <c r="L403" s="13">
        <v>22627.360000000001</v>
      </c>
      <c r="M403" t="s">
        <v>72</v>
      </c>
      <c r="N403">
        <v>82845322000104</v>
      </c>
    </row>
    <row r="404" spans="1:14" ht="25.5" x14ac:dyDescent="0.25">
      <c r="A404" s="12" t="s">
        <v>9</v>
      </c>
      <c r="B404" s="2" t="s">
        <v>80</v>
      </c>
      <c r="C404" s="3" t="str">
        <f>HYPERLINK("https://transparencia-area-fim.mpce.mp.br/#/consulta/processo/pastadigital/092024000108679","09.2024.00010867-9")</f>
        <v>09.2024.00010867-9</v>
      </c>
      <c r="D404" s="4">
        <v>45378</v>
      </c>
      <c r="E404" s="16" t="s">
        <v>426</v>
      </c>
      <c r="F404" s="2" t="s">
        <v>59</v>
      </c>
      <c r="G404" s="5" t="str">
        <f>HYPERLINK("http://www8.mpce.mp.br/Empenhos/150001/NE/2024NE000620.pdf","2024NE000620")</f>
        <v>2024NE000620</v>
      </c>
      <c r="H404" s="6">
        <v>608.22</v>
      </c>
      <c r="I404" s="7" t="s">
        <v>95</v>
      </c>
      <c r="J404" s="10" t="s">
        <v>96</v>
      </c>
      <c r="K404" t="str">
        <f>HYPERLINK("http://www8.mpce.mp.br/Empenhos/150501/NE/2024NE000348.pdf","2024NE000348")</f>
        <v>2024NE000348</v>
      </c>
      <c r="L404" s="13">
        <v>22627.360000000001</v>
      </c>
      <c r="M404" t="s">
        <v>72</v>
      </c>
      <c r="N404">
        <v>82845322000104</v>
      </c>
    </row>
    <row r="405" spans="1:14" ht="38.25" x14ac:dyDescent="0.25">
      <c r="A405" s="12" t="s">
        <v>9</v>
      </c>
      <c r="B405" s="2" t="s">
        <v>80</v>
      </c>
      <c r="C405" s="3" t="str">
        <f>HYPERLINK("https://transparencia-area-fim.mpce.mp.br/#/consulta/processo/pastadigital/092024000108724","09.2024.00010872-4")</f>
        <v>09.2024.00010872-4</v>
      </c>
      <c r="D405" s="4">
        <v>45378</v>
      </c>
      <c r="E405" s="16" t="s">
        <v>427</v>
      </c>
      <c r="F405" s="2" t="s">
        <v>59</v>
      </c>
      <c r="G405" s="5" t="str">
        <f>HYPERLINK("http://www8.mpce.mp.br/Empenhos/150001/NE/2024NE000622.pdf","2024NE000622")</f>
        <v>2024NE000622</v>
      </c>
      <c r="H405" s="6">
        <v>450</v>
      </c>
      <c r="I405" s="7" t="s">
        <v>107</v>
      </c>
      <c r="J405" s="10" t="s">
        <v>108</v>
      </c>
      <c r="K405" t="str">
        <f>HYPERLINK("http://www8.mpce.mp.br/Empenhos/150501/NE/2024NE000348.pdf","2024NE000348")</f>
        <v>2024NE000348</v>
      </c>
      <c r="L405" s="13">
        <v>22627.360000000001</v>
      </c>
      <c r="M405" t="s">
        <v>72</v>
      </c>
      <c r="N405">
        <v>82845322000104</v>
      </c>
    </row>
    <row r="406" spans="1:14" ht="150" x14ac:dyDescent="0.25">
      <c r="A406" s="12" t="s">
        <v>34</v>
      </c>
      <c r="B406" s="2" t="s">
        <v>607</v>
      </c>
      <c r="C406" s="3" t="str">
        <f>HYPERLINK("https://transparencia-area-fim.mpce.mp.br/#/consulta/processo/pastadigital/092023000287468","09.2023.00028746-8")</f>
        <v>09.2023.00028746-8</v>
      </c>
      <c r="D406" s="4">
        <v>45469</v>
      </c>
      <c r="E406" s="17" t="str">
        <f>HYPERLINK("https://www8.mpce.mp.br/Empenhos/150001/Objeto/58-2023.pdf","EMPENHO REF. SERVIÇOS DE SUPORTE TÉCNICO DE SISTEMA E TREINAMENTO ESPECÍFICO PARA UTILIZAÇÃO DA SOLUÇÃO TECNOLÓGICA, CONF. CONTRATO 058/2023,"&amp;" REF. 2024, POR ESTIMATIVA.[EMPENHO SUBSTITUTIVO DAS NEDS 2024NE000389 E 2024NE000438, JÁ ANULADAS, EM RAZÃO DE RECENTE MUDANÇA NA CLASSIFICAÇÃO DEFINIDA PELA SEFAZ, QUE PASSOU A VEDAR A "&amp;"UTILIZAÇÃO DE NATUREZA CONTENDO A MODALIDADE 90 EM EMPENHOS ATINENTES A CREDORES PERTENCENTES AO MESMO ENTE FEDERATIVO DO ÓRGÃO CONTRATANTE.]")</f>
        <v>EMPENHO REF. SERVIÇOS DE SUPORTE TÉCNICO DE SISTEMA E TREINAMENTO ESPECÍFICO PARA UTILIZAÇÃO DA SOLUÇÃO TECNOLÓGICA, CONF. CONTRATO 058/2023, REF. 2024, POR ESTIMATIVA.[EMPENHO SUBSTITUTIVO DAS NEDS 2024NE000389 E 2024NE000438, JÁ ANULADAS, EM RAZÃO DE RECENTE MUDANÇA NA CLASSIFICAÇÃO DEFINIDA PELA SEFAZ, QUE PASSOU A VEDAR A UTILIZAÇÃO DE NATUREZA CONTENDO A MODALIDADE 90 EM EMPENHOS ATINENTES A CREDORES PERTENCENTES AO MESMO ENTE FEDERATIVO DO ÓRGÃO CONTRATANTE.]</v>
      </c>
      <c r="F406" s="2" t="s">
        <v>608</v>
      </c>
      <c r="G406" s="5" t="str">
        <f>HYPERLINK("http://www8.mpce.mp.br/Empenhos/150501/NE/2024NE000622.pdf","2024NE000622")</f>
        <v>2024NE000622</v>
      </c>
      <c r="H406" s="6">
        <v>342949.76</v>
      </c>
      <c r="I406" s="7" t="s">
        <v>244</v>
      </c>
      <c r="J406" s="10" t="s">
        <v>245</v>
      </c>
      <c r="K406" t="str">
        <f>HYPERLINK("http://www8.mpce.mp.br/Empenhos/150501/NE/2024NE000348.pdf","2024NE000348")</f>
        <v>2024NE000348</v>
      </c>
      <c r="L406" s="13">
        <v>22627.360000000001</v>
      </c>
      <c r="M406" t="s">
        <v>72</v>
      </c>
      <c r="N406">
        <v>82845322000104</v>
      </c>
    </row>
    <row r="407" spans="1:14" ht="51" x14ac:dyDescent="0.25">
      <c r="A407" s="12" t="s">
        <v>34</v>
      </c>
      <c r="B407" s="2" t="s">
        <v>592</v>
      </c>
      <c r="C407" s="3" t="str">
        <f>HYPERLINK("https://transparencia-area-fim.mpce.mp.br/#/consulta/processo/pastadigital/092021000079244","09.2021.00007924-4")</f>
        <v>09.2021.00007924-4</v>
      </c>
      <c r="D407" s="4">
        <v>45467</v>
      </c>
      <c r="E407" s="16" t="str">
        <f>HYPERLINK("https://www8.mpce.mp.br/Empenhos/150001/Objeto/27-2021.pdf","EMPENHO REF. REEMBOLSO DE IPTU DE IMÓVEL ONDE FUNCIONA SEDE DE PROMOTORIAS DE JUSTIÇA DA COMARCA DE EUSÉBIO, CONF. CONTRATO 027/2021, REF. 2024 - 3ª PARCELA.")</f>
        <v>EMPENHO REF. REEMBOLSO DE IPTU DE IMÓVEL ONDE FUNCIONA SEDE DE PROMOTORIAS DE JUSTIÇA DA COMARCA DE EUSÉBIO, CONF. CONTRATO 027/2021, REF. 2024 - 3ª PARCELA.</v>
      </c>
      <c r="F407" s="2" t="s">
        <v>252</v>
      </c>
      <c r="G407" s="5" t="str">
        <f>HYPERLINK("http://www8.mpce.mp.br/Empenhos/150501/NE/2024NE000623.pdf","2024NE000623")</f>
        <v>2024NE000623</v>
      </c>
      <c r="H407" s="6">
        <v>729.87</v>
      </c>
      <c r="I407" s="7" t="s">
        <v>144</v>
      </c>
      <c r="J407" s="10" t="s">
        <v>145</v>
      </c>
      <c r="K407" t="str">
        <f>HYPERLINK("http://www8.mpce.mp.br/Empenhos/150501/NE/2024NE000349.pdf","2024NE000349")</f>
        <v>2024NE000349</v>
      </c>
      <c r="L407" s="13">
        <v>160000</v>
      </c>
      <c r="M407" t="s">
        <v>72</v>
      </c>
      <c r="N407">
        <v>82845322000104</v>
      </c>
    </row>
    <row r="408" spans="1:14" ht="51" x14ac:dyDescent="0.25">
      <c r="A408" s="12" t="s">
        <v>34</v>
      </c>
      <c r="B408" s="2" t="s">
        <v>596</v>
      </c>
      <c r="C408" s="3" t="str">
        <f>HYPERLINK("https://transparencia-area-fim.mpce.mp.br/#/consulta/processo/pastadigital/092021000219739","09.2021.00021973-9")</f>
        <v>09.2021.00021973-9</v>
      </c>
      <c r="D408" s="4">
        <v>45467</v>
      </c>
      <c r="E408" s="16" t="str">
        <f>HYPERLINK("https://www8.mpce.mp.br/Empenhos/150001/Objeto/45-2021.pdf","EMPENHO REF. REEMBOLSO DE IPTU DE IMÓVEL SITUADO NO EUSÉBIO-CE, ONDE FUNCIONA SEDE DE PROMOTORIAS DE JUSTIÇA DAQUELA COMARCA, CONF. CONTRATO 045/2021, REF. 2024 - 3ª PARCELA.")</f>
        <v>EMPENHO REF. REEMBOLSO DE IPTU DE IMÓVEL SITUADO NO EUSÉBIO-CE, ONDE FUNCIONA SEDE DE PROMOTORIAS DE JUSTIÇA DAQUELA COMARCA, CONF. CONTRATO 045/2021, REF. 2024 - 3ª PARCELA.</v>
      </c>
      <c r="F408" s="2" t="s">
        <v>252</v>
      </c>
      <c r="G408" s="5" t="str">
        <f>HYPERLINK("http://www8.mpce.mp.br/Empenhos/150501/NE/2024NE000625.pdf","2024NE000625")</f>
        <v>2024NE000625</v>
      </c>
      <c r="H408" s="6">
        <v>152.37</v>
      </c>
      <c r="I408" s="7" t="s">
        <v>144</v>
      </c>
      <c r="J408" s="10" t="s">
        <v>145</v>
      </c>
      <c r="K408" t="str">
        <f>HYPERLINK("http://www8.mpce.mp.br/Empenhos/150501/NE/2024NE000349.pdf","2024NE000349")</f>
        <v>2024NE000349</v>
      </c>
      <c r="L408" s="13">
        <v>160000</v>
      </c>
      <c r="M408" t="s">
        <v>72</v>
      </c>
      <c r="N408">
        <v>82845322000104</v>
      </c>
    </row>
    <row r="409" spans="1:14" ht="63.75" x14ac:dyDescent="0.25">
      <c r="A409" s="12" t="s">
        <v>34</v>
      </c>
      <c r="B409" s="2" t="s">
        <v>609</v>
      </c>
      <c r="C409" s="3" t="str">
        <f>HYPERLINK("https://transparencia-area-fim.mpce.mp.br/#/consulta/processo/pastadigital/092024000120372","09.2024.00012037-2")</f>
        <v>09.2024.00012037-2</v>
      </c>
      <c r="D409" s="4">
        <v>45467</v>
      </c>
      <c r="E409" s="16" t="str">
        <f>HYPERLINK("https://www8.mpce.mp.br/Empenhos/150001/Objeto/41-2024.pdf","EMPENHO REF. SERVIÇOS TÉCNICOS E ESPECIALIZADOS PARA REALIZAÇÃO DE PROCESSO SELETIVO DE ESTAGIÁRIOS DE GRADUAÇÃO E DE RESIDENTES, POR MEIO DE DISPENSA DE LICITAÇÃO, CONF. CONTRATO 041/2024, REF. JUN-DEZ/2024, POR ESTIMATIVA.")</f>
        <v>EMPENHO REF. SERVIÇOS TÉCNICOS E ESPECIALIZADOS PARA REALIZAÇÃO DE PROCESSO SELETIVO DE ESTAGIÁRIOS DE GRADUAÇÃO E DE RESIDENTES, POR MEIO DE DISPENSA DE LICITAÇÃO, CONF. CONTRATO 041/2024, REF. JUN-DEZ/2024, POR ESTIMATIVA.</v>
      </c>
      <c r="F409" s="2" t="s">
        <v>610</v>
      </c>
      <c r="G409" s="5" t="str">
        <f>HYPERLINK("http://www8.mpce.mp.br/Empenhos/150501/NE/2024NE000626.pdf","2024NE000626")</f>
        <v>2024NE000626</v>
      </c>
      <c r="H409" s="6">
        <v>435000</v>
      </c>
      <c r="I409" s="7" t="s">
        <v>611</v>
      </c>
      <c r="J409" s="10" t="s">
        <v>854</v>
      </c>
      <c r="K409" t="str">
        <f>HYPERLINK("http://www8.mpce.mp.br/Empenhos/150501/NE/2024NE000349.pdf","2024NE000349")</f>
        <v>2024NE000349</v>
      </c>
      <c r="L409" s="13">
        <v>160000</v>
      </c>
      <c r="M409" t="s">
        <v>72</v>
      </c>
      <c r="N409">
        <v>82845322000104</v>
      </c>
    </row>
    <row r="410" spans="1:14" ht="135" x14ac:dyDescent="0.25">
      <c r="A410" s="12" t="s">
        <v>34</v>
      </c>
      <c r="B410" s="2" t="s">
        <v>612</v>
      </c>
      <c r="C410" s="3" t="str">
        <f>HYPERLINK("https://transparencia-area-fim.mpce.mp.br/#/consulta/processo/pastadigital/092021000349974","09.2021.00034997-4")</f>
        <v>09.2021.00034997-4</v>
      </c>
      <c r="D410" s="4">
        <v>45469</v>
      </c>
      <c r="E410" s="17" t="str">
        <f>HYPERLINK("https://www8.mpce.mp.br/Empenhos/150001/Objeto/01-2022.pdf","EMPENHO REF. SERVIÇO DE DISPONIBILIZAÇÃO DE SOLUÇÃO TECNOLÓGICA (SAAS), CONF. CONTRATO 001/2022, REF. ABR, MAI E JUN/2024, POR ESTIMATIVA."&amp;"[EMPENHO SUBSTITUTIVO DA NEDS 2024NE000329, JÁ ANULADA, EM RAZÃO DE RECENTE MUDANÇA NA CLASSIFICAÇÃO DEFINIDA PELA SEFAZ, QUE PASSOU A VEDAR A UTILIZAÇÃO DE NATUREZA CONTENDO A MODALIDADE 90"&amp;" EM EMPENHOS ATINENTES A CREDORES PERTENCENTES AO MESMO ENTE FEDERATIVO DO ÓRGÃO CONTRATANTE.]")</f>
        <v>EMPENHO REF. SERVIÇO DE DISPONIBILIZAÇÃO DE SOLUÇÃO TECNOLÓGICA (SAAS), CONF. CONTRATO 001/2022, REF. ABR, MAI E JUN/2024, POR ESTIMATIVA.[EMPENHO SUBSTITUTIVO DA NEDS 2024NE000329, JÁ ANULADA, EM RAZÃO DE RECENTE MUDANÇA NA CLASSIFICAÇÃO DEFINIDA PELA SEFAZ, QUE PASSOU A VEDAR A UTILIZAÇÃO DE NATUREZA CONTENDO A MODALIDADE 90 EM EMPENHOS ATINENTES A CREDORES PERTENCENTES AO MESMO ENTE FEDERATIVO DO ÓRGÃO CONTRATANTE.]</v>
      </c>
      <c r="F410" s="2" t="s">
        <v>608</v>
      </c>
      <c r="G410" s="5" t="str">
        <f>HYPERLINK("http://www8.mpce.mp.br/Empenhos/150501/NE/2024NE000631.pdf","2024NE000631")</f>
        <v>2024NE000631</v>
      </c>
      <c r="H410" s="6">
        <v>41400</v>
      </c>
      <c r="I410" s="7" t="s">
        <v>244</v>
      </c>
      <c r="J410" s="10" t="s">
        <v>245</v>
      </c>
      <c r="K410" t="str">
        <f>HYPERLINK("http://www8.mpce.mp.br/Empenhos/150501/NE/2024NE000349.pdf","2024NE000349")</f>
        <v>2024NE000349</v>
      </c>
      <c r="L410" s="13">
        <v>160000</v>
      </c>
      <c r="M410" t="s">
        <v>72</v>
      </c>
      <c r="N410">
        <v>82845322000104</v>
      </c>
    </row>
    <row r="411" spans="1:14" ht="38.25" x14ac:dyDescent="0.25">
      <c r="A411" s="12" t="s">
        <v>9</v>
      </c>
      <c r="B411" s="2" t="s">
        <v>80</v>
      </c>
      <c r="C411" s="3" t="str">
        <f>HYPERLINK("https://transparencia-area-fim.mpce.mp.br/#/consulta/processo/pastadigital/092024000110963","09.2024.00011096-3")</f>
        <v>09.2024.00011096-3</v>
      </c>
      <c r="D411" s="4">
        <v>45378</v>
      </c>
      <c r="E411" s="16" t="s">
        <v>428</v>
      </c>
      <c r="F411" s="2" t="s">
        <v>59</v>
      </c>
      <c r="G411" s="5" t="str">
        <f>HYPERLINK("http://www8.mpce.mp.br/Empenhos/150001/NE/2024NE000638.pdf","2024NE000638")</f>
        <v>2024NE000638</v>
      </c>
      <c r="H411" s="6">
        <v>60.78</v>
      </c>
      <c r="I411" s="7" t="s">
        <v>85</v>
      </c>
      <c r="J411" s="10" t="s">
        <v>86</v>
      </c>
      <c r="K411" t="str">
        <f>HYPERLINK("http://www8.mpce.mp.br/Empenhos/150501/NE/2024NE000349.pdf","2024NE000349")</f>
        <v>2024NE000349</v>
      </c>
      <c r="L411" s="13">
        <v>160000</v>
      </c>
      <c r="M411" t="s">
        <v>72</v>
      </c>
      <c r="N411">
        <v>82845322000104</v>
      </c>
    </row>
    <row r="412" spans="1:14" ht="25.5" x14ac:dyDescent="0.25">
      <c r="A412" s="12" t="s">
        <v>9</v>
      </c>
      <c r="B412" s="2" t="s">
        <v>429</v>
      </c>
      <c r="C412" s="3" t="str">
        <f>HYPERLINK("https://transparencia-area-fim.mpce.mp.br/#/consulta/processo/pastadigital/092024000111007","09.2024.00011100-7")</f>
        <v>09.2024.00011100-7</v>
      </c>
      <c r="D412" s="4">
        <v>45383</v>
      </c>
      <c r="E412" s="16" t="s">
        <v>430</v>
      </c>
      <c r="F412" s="2" t="s">
        <v>59</v>
      </c>
      <c r="G412" s="5" t="str">
        <f>HYPERLINK("http://www8.mpce.mp.br/Empenhos/150001/NE/2024NE000642.pdf","2024NE000642")</f>
        <v>2024NE000642</v>
      </c>
      <c r="H412" s="6">
        <v>600</v>
      </c>
      <c r="I412" s="7" t="s">
        <v>78</v>
      </c>
      <c r="J412" s="10" t="s">
        <v>79</v>
      </c>
      <c r="K412" t="str">
        <f>HYPERLINK("http://www8.mpce.mp.br/Empenhos/150501/NE/2024NE000350.pdf","2024NE000350")</f>
        <v>2024NE000350</v>
      </c>
      <c r="L412" s="13">
        <v>164387.07</v>
      </c>
      <c r="M412" t="s">
        <v>72</v>
      </c>
      <c r="N412">
        <v>82845322000104</v>
      </c>
    </row>
    <row r="413" spans="1:14" ht="51" x14ac:dyDescent="0.25">
      <c r="A413" s="12" t="s">
        <v>34</v>
      </c>
      <c r="B413" s="2" t="s">
        <v>613</v>
      </c>
      <c r="C413" s="3" t="str">
        <f>HYPERLINK("http://www8.mpce.mp.br/Dispensa/842220170.pdf","8422/20170")</f>
        <v>8422/20170</v>
      </c>
      <c r="D413" s="4">
        <v>45474</v>
      </c>
      <c r="E413" s="16" t="str">
        <f>HYPERLINK("https://www8.mpce.mp.br/Empenhos/150001/Objeto/16-2017.pdf","EMPENHO REF. REEMBOLSO DE IPTU DE IMÓVEL ONDE FUNCIONA SEDE DE PROMOTORIAS DE JUSTIÇA CRIMINAL DE FORTALEZA, CONF. CONTRATO 016/2017, REF. 2024 - 5ª PARCELA.")</f>
        <v>EMPENHO REF. REEMBOLSO DE IPTU DE IMÓVEL ONDE FUNCIONA SEDE DE PROMOTORIAS DE JUSTIÇA CRIMINAL DE FORTALEZA, CONF. CONTRATO 016/2017, REF. 2024 - 5ª PARCELA.</v>
      </c>
      <c r="F413" s="2" t="s">
        <v>252</v>
      </c>
      <c r="G413" s="5" t="str">
        <f>HYPERLINK("http://www8.mpce.mp.br/Empenhos/150501/NE/2024NE000643.pdf","2024NE000643")</f>
        <v>2024NE000643</v>
      </c>
      <c r="H413" s="6">
        <v>2619.0100000000002</v>
      </c>
      <c r="I413" s="7" t="s">
        <v>158</v>
      </c>
      <c r="J413" s="10" t="s">
        <v>159</v>
      </c>
      <c r="K413" t="str">
        <f>HYPERLINK("http://www8.mpce.mp.br/Empenhos/150501/NE/2024NE000350.pdf","2024NE000350")</f>
        <v>2024NE000350</v>
      </c>
      <c r="L413" s="13">
        <v>164387.07</v>
      </c>
      <c r="M413" t="s">
        <v>72</v>
      </c>
      <c r="N413">
        <v>82845322000104</v>
      </c>
    </row>
    <row r="414" spans="1:14" ht="38.25" x14ac:dyDescent="0.25">
      <c r="A414" s="12" t="s">
        <v>9</v>
      </c>
      <c r="B414" s="2" t="s">
        <v>429</v>
      </c>
      <c r="C414" s="3" t="str">
        <f>HYPERLINK("https://transparencia-area-fim.mpce.mp.br/#/consulta/processo/pastadigital/092024000111395","09.2024.00011139-5")</f>
        <v>09.2024.00011139-5</v>
      </c>
      <c r="D414" s="4">
        <v>45383</v>
      </c>
      <c r="E414" s="16" t="s">
        <v>431</v>
      </c>
      <c r="F414" s="2" t="s">
        <v>59</v>
      </c>
      <c r="G414" s="5" t="str">
        <f>HYPERLINK("http://www8.mpce.mp.br/Empenhos/150001/NE/2024NE000644.pdf","2024NE000644")</f>
        <v>2024NE000644</v>
      </c>
      <c r="H414" s="6">
        <v>271.32</v>
      </c>
      <c r="I414" s="7" t="s">
        <v>75</v>
      </c>
      <c r="J414" s="10" t="s">
        <v>76</v>
      </c>
      <c r="K414" t="str">
        <f>HYPERLINK("http://www8.mpce.mp.br/Empenhos/150501/NE/2024NE000350.pdf","2024NE000350")</f>
        <v>2024NE000350</v>
      </c>
      <c r="L414" s="13">
        <v>164387.07</v>
      </c>
      <c r="M414" t="s">
        <v>72</v>
      </c>
      <c r="N414">
        <v>82845322000104</v>
      </c>
    </row>
    <row r="415" spans="1:14" ht="63.75" x14ac:dyDescent="0.25">
      <c r="A415" s="12" t="s">
        <v>9</v>
      </c>
      <c r="B415" s="2" t="s">
        <v>614</v>
      </c>
      <c r="C415" s="3" t="str">
        <f>HYPERLINK("https://transparencia-area-fim.mpce.mp.br/#/consulta/processo/pastadigital/092021000000456","09.2021.00000045-6")</f>
        <v>09.2021.00000045-6</v>
      </c>
      <c r="D415" s="4">
        <v>45475</v>
      </c>
      <c r="E415" s="16" t="str">
        <f>HYPERLINK("https://www8.mpce.mp.br/Empenhos/150001/Objeto/02-2021.pdf","PRESTAÇÃO DE SERVIÇO DE SUPORTE TÉCNICO DA SOLUÇÃO GUARDIÃO WEB-BY NGC, REF. AO MÊS DE JULHO DE 2024, CONF. CONTRATO Nº 002/2021/PGJ (4º ADITIVO), CELEBRADO COM A EMPRESA DÍGITO TECNOLOGIA LTDA (NÚCLEO DE INTELIGÊNCIA E APOIO TÉCNICO - NATI).")</f>
        <v>PRESTAÇÃO DE SERVIÇO DE SUPORTE TÉCNICO DA SOLUÇÃO GUARDIÃO WEB-BY NGC, REF. AO MÊS DE JULHO DE 2024, CONF. CONTRATO Nº 002/2021/PGJ (4º ADITIVO), CELEBRADO COM A EMPRESA DÍGITO TECNOLOGIA LTDA (NÚCLEO DE INTELIGÊNCIA E APOIO TÉCNICO - NATI).</v>
      </c>
      <c r="F415" s="2" t="s">
        <v>60</v>
      </c>
      <c r="G415" s="5" t="str">
        <f>HYPERLINK("http://www8.mpce.mp.br/Empenhos/150501/NE/2024NE000646.pdf","2024NE000646")</f>
        <v>2024NE000646</v>
      </c>
      <c r="H415" s="6">
        <v>18263.46</v>
      </c>
      <c r="I415" s="7" t="s">
        <v>22</v>
      </c>
      <c r="J415" s="10" t="s">
        <v>23</v>
      </c>
      <c r="K415" t="str">
        <f>HYPERLINK("http://www8.mpce.mp.br/Empenhos/150501/NE/2024NE000350.pdf","2024NE000350")</f>
        <v>2024NE000350</v>
      </c>
      <c r="L415" s="13">
        <v>164387.07</v>
      </c>
      <c r="M415" t="s">
        <v>72</v>
      </c>
      <c r="N415">
        <v>82845322000104</v>
      </c>
    </row>
    <row r="416" spans="1:14" ht="120" x14ac:dyDescent="0.25">
      <c r="A416" s="12" t="s">
        <v>9</v>
      </c>
      <c r="B416" s="2" t="s">
        <v>615</v>
      </c>
      <c r="C416" s="3" t="str">
        <f>HYPERLINK("https://transparencia-area-fim.mpce.mp.br/#/consulta/processo/pastadigital/092023000079630","09.2023.00007963-0")</f>
        <v>09.2023.00007963-0</v>
      </c>
      <c r="D416" s="4">
        <v>45477</v>
      </c>
      <c r="E416" s="17" t="str">
        <f>HYPERLINK("https://www8.mpce.mp.br/Empenhos/150001/Objeto/15-2023.pdf","EXECUTIVE PROGRAMS LEADERSHIP TEAM PLUS LEADER E TEAM PLUS IT EXECUTIVE _ LICENÇA DE ATUAÇÃO ESTRATÉGICA DE APOIO E ACONSELHAMENTO PARA EXECUTIVO DE TI"&amp;", P/ USUÁRIO EXECUTIVO TITULAR, INCLUINDO ACESSO A UM CONSELHEIRO EXECUTIVO, ACESSO A ANALISTAS E A BASE DE CONHECIMENTO DESTINADAS AO NÍVEL DE ATUAÇÃO GERENCIAL, REF. AO MESES DE MAIO E JUNHO DE 2024, CONF. CONTRATO Nº 015/2023.")</f>
        <v>EXECUTIVE PROGRAMS LEADERSHIP TEAM PLUS LEADER E TEAM PLUS IT EXECUTIVE _ LICENÇA DE ATUAÇÃO ESTRATÉGICA DE APOIO E ACONSELHAMENTO PARA EXECUTIVO DE TI, P/ USUÁRIO EXECUTIVO TITULAR, INCLUINDO ACESSO A UM CONSELHEIRO EXECUTIVO, ACESSO A ANALISTAS E A BASE DE CONHECIMENTO DESTINADAS AO NÍVEL DE ATUAÇÃO GERENCIAL, REF. AO MESES DE MAIO E JUNHO DE 2024, CONF. CONTRATO Nº 015/2023.</v>
      </c>
      <c r="F416" s="2" t="s">
        <v>109</v>
      </c>
      <c r="G416" s="5" t="str">
        <f>HYPERLINK("http://www8.mpce.mp.br/Empenhos/150501/NE/2024NE000660.pdf","2024NE000660")</f>
        <v>2024NE000660</v>
      </c>
      <c r="H416" s="6">
        <v>131200</v>
      </c>
      <c r="I416" s="7" t="s">
        <v>113</v>
      </c>
      <c r="J416" s="10" t="s">
        <v>114</v>
      </c>
      <c r="K416" t="str">
        <f>HYPERLINK("http://www8.mpce.mp.br/Empenhos/150501/NE/2024NE000350.pdf","2024NE000350")</f>
        <v>2024NE000350</v>
      </c>
      <c r="L416" s="13">
        <v>164387.07</v>
      </c>
      <c r="M416" t="s">
        <v>72</v>
      </c>
      <c r="N416">
        <v>82845322000104</v>
      </c>
    </row>
    <row r="417" spans="1:14" ht="45" x14ac:dyDescent="0.25">
      <c r="A417" s="12" t="s">
        <v>34</v>
      </c>
      <c r="B417" s="2" t="s">
        <v>612</v>
      </c>
      <c r="C417" s="3" t="str">
        <f>HYPERLINK("https://transparencia-area-fim.mpce.mp.br/#/consulta/processo/pastadigital/092021000349974","09.2021.00034997-4")</f>
        <v>09.2021.00034997-4</v>
      </c>
      <c r="D417" s="4">
        <v>45477</v>
      </c>
      <c r="E417" s="16" t="str">
        <f>HYPERLINK("https://www8.mpce.mp.br/Empenhos/150001/Objeto/01-2022.pdf","EMPENHO REF. SERVIÇO DE DISPONIBILIZAÇÃO DE SOLUÇÃO TECNOLÓGICA (SAAS) MULTICANAL, CONF. CONTRATO 001/2022, REF. JUL/2024, POR ESTIMATIVA.")</f>
        <v>EMPENHO REF. SERVIÇO DE DISPONIBILIZAÇÃO DE SOLUÇÃO TECNOLÓGICA (SAAS) MULTICANAL, CONF. CONTRATO 001/2022, REF. JUL/2024, POR ESTIMATIVA.</v>
      </c>
      <c r="F417" s="2" t="s">
        <v>608</v>
      </c>
      <c r="G417" s="5" t="str">
        <f>HYPERLINK("http://www8.mpce.mp.br/Empenhos/150501/NE/2024NE000662.pdf","2024NE000662")</f>
        <v>2024NE000662</v>
      </c>
      <c r="H417" s="6">
        <v>13800</v>
      </c>
      <c r="I417" s="7" t="s">
        <v>244</v>
      </c>
      <c r="J417" s="10" t="s">
        <v>245</v>
      </c>
      <c r="K417" t="str">
        <f>HYPERLINK("http://www8.mpce.mp.br/Empenhos/150501/NE/2024NE000352.pdf","2024NE000352")</f>
        <v>2024NE000352</v>
      </c>
      <c r="L417" s="13">
        <v>7594.5</v>
      </c>
      <c r="M417" t="s">
        <v>110</v>
      </c>
      <c r="N417">
        <v>7955535000165</v>
      </c>
    </row>
    <row r="418" spans="1:14" ht="63.75" x14ac:dyDescent="0.25">
      <c r="A418" s="12" t="s">
        <v>34</v>
      </c>
      <c r="B418" s="2" t="s">
        <v>616</v>
      </c>
      <c r="C418" s="3" t="str">
        <f>HYPERLINK("https://transparencia-area-fim.mpce.mp.br/#/consulta/processo/pastadigital/092023000117363","09.2023.00011736-3")</f>
        <v>09.2023.00011736-3</v>
      </c>
      <c r="D418" s="4">
        <v>45477</v>
      </c>
      <c r="E418" s="16" t="str">
        <f>HYPERLINK("https://www8.mpce.mp.br/Empenhos/150001/Objeto/32-2023.pdf","SUPLEMENTAÇÃO DA NED 2024NE000332 (DISPONIBILIZAÇÃO DE SOLUÇÃO TECNOLÓGICA, NA MODALIDADE SOFTWARE - SAAS, CONF. CONTRATO 032/2023, REF. ABR/2024), PARA CONTEMPLAR TAMBÉM AS COMPETÊNCIAS MAI E JUN/2024 TAMBÉM SOLICITADAS ÀS FLS. 27/28.")</f>
        <v>SUPLEMENTAÇÃO DA NED 2024NE000332 (DISPONIBILIZAÇÃO DE SOLUÇÃO TECNOLÓGICA, NA MODALIDADE SOFTWARE - SAAS, CONF. CONTRATO 032/2023, REF. ABR/2024), PARA CONTEMPLAR TAMBÉM AS COMPETÊNCIAS MAI E JUN/2024 TAMBÉM SOLICITADAS ÀS FLS. 27/28.</v>
      </c>
      <c r="F418" s="2" t="s">
        <v>608</v>
      </c>
      <c r="G418" s="5" t="str">
        <f>HYPERLINK("http://www8.mpce.mp.br/Empenhos/150501/NE/2024NE000663.pdf","2024NE000663")</f>
        <v>2024NE000663</v>
      </c>
      <c r="H418" s="6">
        <v>12432.84</v>
      </c>
      <c r="I418" s="7" t="s">
        <v>244</v>
      </c>
      <c r="J418" s="10" t="s">
        <v>245</v>
      </c>
      <c r="K418" t="str">
        <f>HYPERLINK("http://www8.mpce.mp.br/Empenhos/150501/NE/2024NE000354.pdf","2024NE000354")</f>
        <v>2024NE000354</v>
      </c>
      <c r="L418" s="13">
        <v>13486.5</v>
      </c>
      <c r="M418" t="s">
        <v>402</v>
      </c>
      <c r="N418">
        <v>53820857000114</v>
      </c>
    </row>
    <row r="419" spans="1:14" ht="38.25" x14ac:dyDescent="0.25">
      <c r="A419" s="12" t="s">
        <v>34</v>
      </c>
      <c r="B419" s="2" t="s">
        <v>617</v>
      </c>
      <c r="C419" s="3" t="str">
        <f>HYPERLINK("http://www8.mpce.mp.br/Dispensa/3072520194.pdf","30725/2019-4")</f>
        <v>30725/2019-4</v>
      </c>
      <c r="D419" s="4">
        <v>45478</v>
      </c>
      <c r="E419" s="16" t="str">
        <f>HYPERLINK("https://www8.mpce.mp.br/Empenhos/150001/Objeto/06-2020.pdf","REFERENTE A SOLICITAÇÃO DE SERVIÇOS: LINK DE DADOS, SERVIÇO DE NUVEM E HORAS IMPRODUTIVAS, DO MÊS DE JULHO DE 2024, CONF. CONTRATO Nº 006/2020.")</f>
        <v>REFERENTE A SOLICITAÇÃO DE SERVIÇOS: LINK DE DADOS, SERVIÇO DE NUVEM E HORAS IMPRODUTIVAS, DO MÊS DE JULHO DE 2024, CONF. CONTRATO Nº 006/2020.</v>
      </c>
      <c r="F419" s="2" t="s">
        <v>618</v>
      </c>
      <c r="G419" s="5" t="str">
        <f>HYPERLINK("http://www8.mpce.mp.br/Empenhos/150501/NE/2024NE000664.pdf","2024NE000664")</f>
        <v>2024NE000664</v>
      </c>
      <c r="H419" s="6">
        <v>22563.68</v>
      </c>
      <c r="I419" s="7" t="s">
        <v>244</v>
      </c>
      <c r="J419" s="10" t="s">
        <v>245</v>
      </c>
      <c r="K419" t="str">
        <f>HYPERLINK("http://www8.mpce.mp.br/Empenhos/150501/NE/2024NE000357.pdf","2024NE000357")</f>
        <v>2024NE000357</v>
      </c>
      <c r="L419" s="13">
        <v>13486.5</v>
      </c>
      <c r="M419" t="s">
        <v>402</v>
      </c>
      <c r="N419">
        <v>53820857000114</v>
      </c>
    </row>
    <row r="420" spans="1:14" ht="63.75" x14ac:dyDescent="0.25">
      <c r="A420" s="12" t="s">
        <v>34</v>
      </c>
      <c r="B420" s="2" t="s">
        <v>619</v>
      </c>
      <c r="C420" s="3" t="str">
        <f>HYPERLINK("https://transparencia-area-fim.mpce.mp.br/#/consulta/processo/pastadigital/092023000388810","09.2023.00038881-0")</f>
        <v>09.2023.00038881-0</v>
      </c>
      <c r="D420" s="4">
        <v>45477</v>
      </c>
      <c r="E420" s="16" t="str">
        <f>HYPERLINK("https://www8.mpce.mp.br/Empenhos/150001/Objeto/22-2024.pdf","EMPENHO REF. SERVIÇOS DE SOLUÇÃO EM NUVEM DE PROTEÇÃO, GESTÃO, AVALIAÇÃO DE POSTURA E CONECTIVIDADE PARA NUVEM, INCLUINDO IMPLANTAÇÃO, MONITORAMENTO E SUPORTE TÉCNICO, CONF. CONTRATO 022/2024, REF. JUL/2024, POR ESTIMATIVA.")</f>
        <v>EMPENHO REF. SERVIÇOS DE SOLUÇÃO EM NUVEM DE PROTEÇÃO, GESTÃO, AVALIAÇÃO DE POSTURA E CONECTIVIDADE PARA NUVEM, INCLUINDO IMPLANTAÇÃO, MONITORAMENTO E SUPORTE TÉCNICO, CONF. CONTRATO 022/2024, REF. JUL/2024, POR ESTIMATIVA.</v>
      </c>
      <c r="F420" s="2" t="s">
        <v>516</v>
      </c>
      <c r="G420" s="5" t="str">
        <f>HYPERLINK("http://www8.mpce.mp.br/Empenhos/150501/NE/2024NE000666.pdf","2024NE000666")</f>
        <v>2024NE000666</v>
      </c>
      <c r="H420" s="6">
        <v>35718.5</v>
      </c>
      <c r="I420" s="7" t="s">
        <v>244</v>
      </c>
      <c r="J420" s="10" t="s">
        <v>245</v>
      </c>
      <c r="K420" t="str">
        <f>HYPERLINK("http://www8.mpce.mp.br/Empenhos/150001/NE/2024NE000358.pdf","2024NE000358")</f>
        <v>2024NE000358</v>
      </c>
      <c r="L420">
        <v>367.2</v>
      </c>
      <c r="M420" t="s">
        <v>345</v>
      </c>
      <c r="N420">
        <v>29261229000161</v>
      </c>
    </row>
    <row r="421" spans="1:14" ht="38.25" x14ac:dyDescent="0.25">
      <c r="A421" s="12" t="s">
        <v>9</v>
      </c>
      <c r="B421" s="2" t="s">
        <v>10</v>
      </c>
      <c r="C421" s="3" t="str">
        <f>HYPERLINK("https://transparencia-area-fim.mpce.mp.br/#/consulta/processo/pastadigital/092024000111429","09.2024.00011142-9")</f>
        <v>09.2024.00011142-9</v>
      </c>
      <c r="D421" s="4">
        <v>45383</v>
      </c>
      <c r="E421" s="16" t="s">
        <v>432</v>
      </c>
      <c r="F421" s="2" t="s">
        <v>59</v>
      </c>
      <c r="G421" s="5" t="str">
        <f>HYPERLINK("http://www8.mpce.mp.br/Empenhos/150001/NE/2024NE000673.pdf","2024NE000673")</f>
        <v>2024NE000673</v>
      </c>
      <c r="H421" s="6">
        <v>900</v>
      </c>
      <c r="I421" s="7" t="s">
        <v>69</v>
      </c>
      <c r="J421" s="10" t="s">
        <v>70</v>
      </c>
      <c r="K421" t="str">
        <f>HYPERLINK("http://www8.mpce.mp.br/Empenhos/150001/NE/2024NE000358.pdf","2024NE000358")</f>
        <v>2024NE000358</v>
      </c>
      <c r="L421">
        <v>367.2</v>
      </c>
      <c r="M421" t="s">
        <v>345</v>
      </c>
      <c r="N421">
        <v>29261229000161</v>
      </c>
    </row>
    <row r="422" spans="1:14" ht="38.25" x14ac:dyDescent="0.25">
      <c r="A422" s="12" t="s">
        <v>9</v>
      </c>
      <c r="B422" s="2" t="s">
        <v>433</v>
      </c>
      <c r="C422" s="3" t="str">
        <f>HYPERLINK("https://transparencia-area-fim.mpce.mp.br/#/consulta/processo/pastadigital/092024000111430","09.2024.00011143-0")</f>
        <v>09.2024.00011143-0</v>
      </c>
      <c r="D422" s="4">
        <v>45383</v>
      </c>
      <c r="E422" s="16" t="s">
        <v>434</v>
      </c>
      <c r="F422" s="2" t="s">
        <v>59</v>
      </c>
      <c r="G422" s="5" t="str">
        <f>HYPERLINK("http://www8.mpce.mp.br/Empenhos/150001/NE/2024NE000684.pdf","2024NE000684")</f>
        <v>2024NE000684</v>
      </c>
      <c r="H422" s="6">
        <v>188.73</v>
      </c>
      <c r="I422" s="7" t="s">
        <v>66</v>
      </c>
      <c r="J422" s="10" t="s">
        <v>67</v>
      </c>
      <c r="K422" t="str">
        <f>HYPERLINK("http://www8.mpce.mp.br/Empenhos/150001/NE/2024NE000358.pdf","2024NE000358")</f>
        <v>2024NE000358</v>
      </c>
      <c r="L422">
        <v>367.2</v>
      </c>
      <c r="M422" t="s">
        <v>345</v>
      </c>
      <c r="N422">
        <v>29261229000161</v>
      </c>
    </row>
    <row r="423" spans="1:14" ht="38.25" x14ac:dyDescent="0.25">
      <c r="A423" s="12" t="s">
        <v>9</v>
      </c>
      <c r="B423" s="2" t="s">
        <v>433</v>
      </c>
      <c r="C423" s="3" t="str">
        <f>HYPERLINK("https://transparencia-area-fim.mpce.mp.br/#/consulta/processo/pastadigital/092024000111473","09.2024.00011147-3")</f>
        <v>09.2024.00011147-3</v>
      </c>
      <c r="D423" s="4">
        <v>45383</v>
      </c>
      <c r="E423" s="16" t="s">
        <v>435</v>
      </c>
      <c r="F423" s="2" t="s">
        <v>59</v>
      </c>
      <c r="G423" s="5" t="str">
        <f>HYPERLINK("http://www8.mpce.mp.br/Empenhos/150001/NE/2024NE000685.pdf","2024NE000685")</f>
        <v>2024NE000685</v>
      </c>
      <c r="H423" s="6">
        <v>150</v>
      </c>
      <c r="I423" s="7" t="s">
        <v>63</v>
      </c>
      <c r="J423" s="10" t="s">
        <v>64</v>
      </c>
      <c r="K423" t="str">
        <f>HYPERLINK("http://www8.mpce.mp.br/Empenhos/150501/NE/2024NE000361.pdf","2024NE000361")</f>
        <v>2024NE000361</v>
      </c>
      <c r="L423" s="13">
        <v>26973</v>
      </c>
      <c r="M423" t="s">
        <v>402</v>
      </c>
      <c r="N423">
        <v>53820857000114</v>
      </c>
    </row>
    <row r="424" spans="1:14" ht="38.25" x14ac:dyDescent="0.25">
      <c r="A424" s="12" t="s">
        <v>9</v>
      </c>
      <c r="B424" s="2" t="s">
        <v>10</v>
      </c>
      <c r="C424" s="3" t="str">
        <f>HYPERLINK("https://transparencia-area-fim.mpce.mp.br/#/consulta/processo/pastadigital/092024000111562","09.2024.00011156-2")</f>
        <v>09.2024.00011156-2</v>
      </c>
      <c r="D424" s="4">
        <v>45383</v>
      </c>
      <c r="E424" s="16" t="s">
        <v>436</v>
      </c>
      <c r="F424" s="2" t="s">
        <v>59</v>
      </c>
      <c r="G424" s="5" t="str">
        <f>HYPERLINK("http://www8.mpce.mp.br/Empenhos/150001/NE/2024NE000686.pdf","2024NE000686")</f>
        <v>2024NE000686</v>
      </c>
      <c r="H424" s="6">
        <v>900</v>
      </c>
      <c r="I424" s="7" t="s">
        <v>32</v>
      </c>
      <c r="J424" s="10" t="s">
        <v>33</v>
      </c>
      <c r="K424" t="str">
        <f>HYPERLINK("http://www8.mpce.mp.br/Empenhos/150501/NE/2024NE000362.pdf","2024NE000362")</f>
        <v>2024NE000362</v>
      </c>
      <c r="L424">
        <v>152.32</v>
      </c>
      <c r="M424" t="s">
        <v>158</v>
      </c>
      <c r="N424">
        <v>5569807000163</v>
      </c>
    </row>
    <row r="425" spans="1:14" ht="38.25" x14ac:dyDescent="0.25">
      <c r="A425" s="12" t="s">
        <v>9</v>
      </c>
      <c r="B425" s="2" t="s">
        <v>433</v>
      </c>
      <c r="C425" s="3" t="str">
        <f>HYPERLINK("https://transparencia-area-fim.mpce.mp.br/#/consulta/processo/pastadigital/092024000112406","09.2024.00011240-6")</f>
        <v>09.2024.00011240-6</v>
      </c>
      <c r="D425" s="4">
        <v>45383</v>
      </c>
      <c r="E425" s="16" t="s">
        <v>437</v>
      </c>
      <c r="F425" s="2" t="s">
        <v>59</v>
      </c>
      <c r="G425" s="5" t="str">
        <f>HYPERLINK("http://www8.mpce.mp.br/Empenhos/150001/NE/2024NE000690.pdf","2024NE000690")</f>
        <v>2024NE000690</v>
      </c>
      <c r="H425" s="6">
        <v>735.48</v>
      </c>
      <c r="I425" s="7" t="s">
        <v>27</v>
      </c>
      <c r="J425" s="10" t="s">
        <v>28</v>
      </c>
      <c r="K425" t="str">
        <f>HYPERLINK("http://www8.mpce.mp.br/Empenhos/150001/NE/2024NE000365.pdf","2024NE000365")</f>
        <v>2024NE000365</v>
      </c>
      <c r="L425" s="13">
        <v>6236</v>
      </c>
      <c r="M425" t="s">
        <v>405</v>
      </c>
      <c r="N425">
        <v>60792942000181</v>
      </c>
    </row>
    <row r="426" spans="1:14" ht="38.25" x14ac:dyDescent="0.25">
      <c r="A426" s="12" t="s">
        <v>9</v>
      </c>
      <c r="B426" s="2" t="s">
        <v>10</v>
      </c>
      <c r="C426" s="3" t="str">
        <f>HYPERLINK("https://transparencia-area-fim.mpce.mp.br/#/consulta/processo/pastadigital/092024000112417","09.2024.00011241-7")</f>
        <v>09.2024.00011241-7</v>
      </c>
      <c r="D426" s="4">
        <v>45383</v>
      </c>
      <c r="E426" s="16" t="s">
        <v>438</v>
      </c>
      <c r="F426" s="2" t="s">
        <v>59</v>
      </c>
      <c r="G426" s="5" t="str">
        <f>HYPERLINK("http://www8.mpce.mp.br/Empenhos/150001/NE/2024NE000692.pdf","2024NE000692")</f>
        <v>2024NE000692</v>
      </c>
      <c r="H426" s="6">
        <v>226.05</v>
      </c>
      <c r="I426" s="7" t="s">
        <v>14</v>
      </c>
      <c r="J426" s="10" t="s">
        <v>15</v>
      </c>
      <c r="K426" t="str">
        <f>HYPERLINK("http://www8.mpce.mp.br/Empenhos/150001/NE/2024NE000365.pdf","2024NE000365")</f>
        <v>2024NE000365</v>
      </c>
      <c r="L426" s="13">
        <v>6236</v>
      </c>
      <c r="M426" t="s">
        <v>405</v>
      </c>
      <c r="N426">
        <v>60792942000181</v>
      </c>
    </row>
    <row r="427" spans="1:14" ht="38.25" x14ac:dyDescent="0.25">
      <c r="A427" s="12" t="s">
        <v>9</v>
      </c>
      <c r="B427" s="2" t="s">
        <v>433</v>
      </c>
      <c r="C427" s="3" t="str">
        <f>HYPERLINK("https://transparencia-area-fim.mpce.mp.br/#/consulta/processo/pastadigital/092024000112428","09.2024.00011242-8")</f>
        <v>09.2024.00011242-8</v>
      </c>
      <c r="D427" s="4">
        <v>45383</v>
      </c>
      <c r="E427" s="16" t="s">
        <v>439</v>
      </c>
      <c r="F427" s="2" t="s">
        <v>59</v>
      </c>
      <c r="G427" s="5" t="str">
        <f>HYPERLINK("http://www8.mpce.mp.br/Empenhos/150001/NE/2024NE000693.pdf","2024NE000693")</f>
        <v>2024NE000693</v>
      </c>
      <c r="H427" s="6">
        <v>615</v>
      </c>
      <c r="I427" s="7" t="s">
        <v>19</v>
      </c>
      <c r="J427" s="10" t="s">
        <v>20</v>
      </c>
      <c r="K427" t="str">
        <f>HYPERLINK("http://www8.mpce.mp.br/Empenhos/150001/NE/2024NE000365.pdf","2024NE000365")</f>
        <v>2024NE000365</v>
      </c>
      <c r="L427" s="13">
        <v>6236</v>
      </c>
      <c r="M427" t="s">
        <v>405</v>
      </c>
      <c r="N427">
        <v>60792942000181</v>
      </c>
    </row>
    <row r="428" spans="1:14" ht="38.25" x14ac:dyDescent="0.25">
      <c r="A428" s="12" t="s">
        <v>9</v>
      </c>
      <c r="B428" s="2" t="s">
        <v>10</v>
      </c>
      <c r="C428" s="3" t="str">
        <f>HYPERLINK("https://transparencia-area-fim.mpce.mp.br/#/consulta/processo/pastadigital/092024000112450","09.2024.00011245-0")</f>
        <v>09.2024.00011245-0</v>
      </c>
      <c r="D428" s="4">
        <v>45383</v>
      </c>
      <c r="E428" s="16" t="s">
        <v>440</v>
      </c>
      <c r="F428" s="2" t="s">
        <v>59</v>
      </c>
      <c r="G428" s="5" t="str">
        <f>HYPERLINK("http://www8.mpce.mp.br/Empenhos/150001/NE/2024NE000695.pdf","2024NE000695")</f>
        <v>2024NE000695</v>
      </c>
      <c r="H428" s="6">
        <v>3000</v>
      </c>
      <c r="I428" s="7" t="s">
        <v>98</v>
      </c>
      <c r="J428" s="10" t="s">
        <v>99</v>
      </c>
      <c r="K428" t="str">
        <f>HYPERLINK("http://www8.mpce.mp.br/Empenhos/150001/NE/2024NE000365.pdf","2024NE000365")</f>
        <v>2024NE000365</v>
      </c>
      <c r="L428" s="13">
        <v>6236</v>
      </c>
      <c r="M428" t="s">
        <v>405</v>
      </c>
      <c r="N428">
        <v>60792942000181</v>
      </c>
    </row>
    <row r="429" spans="1:14" ht="38.25" x14ac:dyDescent="0.25">
      <c r="A429" s="12" t="s">
        <v>9</v>
      </c>
      <c r="B429" s="2" t="s">
        <v>10</v>
      </c>
      <c r="C429" s="3" t="str">
        <f>HYPERLINK("https://transparencia-area-fim.mpce.mp.br/#/consulta/processo/pastadigital/092024000112483","09.2024.00011248-3")</f>
        <v>09.2024.00011248-3</v>
      </c>
      <c r="D429" s="4">
        <v>45383</v>
      </c>
      <c r="E429" s="16" t="s">
        <v>441</v>
      </c>
      <c r="F429" s="2" t="s">
        <v>59</v>
      </c>
      <c r="G429" s="5" t="str">
        <f>HYPERLINK("http://www8.mpce.mp.br/Empenhos/150001/NE/2024NE000696.pdf","2024NE000696")</f>
        <v>2024NE000696</v>
      </c>
      <c r="H429" s="6">
        <v>419.16</v>
      </c>
      <c r="I429" s="7" t="s">
        <v>101</v>
      </c>
      <c r="J429" s="10" t="s">
        <v>102</v>
      </c>
      <c r="K429" t="str">
        <f>HYPERLINK("http://www8.mpce.mp.br/Empenhos/150001/NE/2024NE000366.pdf","2024NE000366")</f>
        <v>2024NE000366</v>
      </c>
      <c r="L429">
        <v>139</v>
      </c>
      <c r="M429" t="s">
        <v>408</v>
      </c>
      <c r="N429">
        <v>12967719000185</v>
      </c>
    </row>
    <row r="430" spans="1:14" ht="51" x14ac:dyDescent="0.25">
      <c r="A430" s="12" t="s">
        <v>34</v>
      </c>
      <c r="B430" s="2" t="s">
        <v>620</v>
      </c>
      <c r="C430" s="3" t="str">
        <f>HYPERLINK("https://transparencia-area-fim.mpce.mp.br/#/consulta/processo/pastadigital/092022000110511","09.2022.00011051-1")</f>
        <v>09.2022.00011051-1</v>
      </c>
      <c r="D430" s="4">
        <v>45478</v>
      </c>
      <c r="E430" s="16" t="str">
        <f>HYPERLINK("https://www8.mpce.mp.br/Empenhos/150001/Objeto/38-2022.pdf","IPTU DE 2024, PARCELA ÚNICA DAS PROMOTORIAS DE JUSTIÇA DA COMARCA DE NOVA OLINDA, REF. AO IMÓVEL LOCALIZADO NA RUA ANTONIETA LIMA, Nº 37, BAIRRO CAJUEIRO, CONF. CONTRATO Nº 038/2022.")</f>
        <v>IPTU DE 2024, PARCELA ÚNICA DAS PROMOTORIAS DE JUSTIÇA DA COMARCA DE NOVA OLINDA, REF. AO IMÓVEL LOCALIZADO NA RUA ANTONIETA LIMA, Nº 37, BAIRRO CAJUEIRO, CONF. CONTRATO Nº 038/2022.</v>
      </c>
      <c r="F430" s="2" t="s">
        <v>388</v>
      </c>
      <c r="G430" s="5" t="str">
        <f>HYPERLINK("http://www8.mpce.mp.br/Empenhos/150501/NE/2024NE000697.pdf","2024NE000697")</f>
        <v>2024NE000697</v>
      </c>
      <c r="H430" s="6">
        <v>460.12</v>
      </c>
      <c r="I430" s="7" t="s">
        <v>229</v>
      </c>
      <c r="J430" s="10" t="s">
        <v>230</v>
      </c>
      <c r="K430" t="str">
        <f>HYPERLINK("http://www8.mpce.mp.br/Empenhos/150001/NE/2024NE000366.pdf","2024NE000366")</f>
        <v>2024NE000366</v>
      </c>
      <c r="L430">
        <v>139</v>
      </c>
      <c r="M430" t="s">
        <v>408</v>
      </c>
      <c r="N430">
        <v>12967719000185</v>
      </c>
    </row>
    <row r="431" spans="1:14" ht="135" x14ac:dyDescent="0.25">
      <c r="A431" s="12" t="s">
        <v>34</v>
      </c>
      <c r="B431" s="2" t="s">
        <v>621</v>
      </c>
      <c r="C431" s="3" t="str">
        <f>HYPERLINK("https://transparencia-area-fim.mpce.mp.br/#/consulta/processo/pastadigital/092022000111032","09.2022.00011103-2")</f>
        <v>09.2022.00011103-2</v>
      </c>
      <c r="D431" s="4">
        <v>45481</v>
      </c>
      <c r="E431" s="17" t="str">
        <f>HYPERLINK("https://www8.mpce.mp.br/Empenhos/150001/Objeto/23-2022.pdf","PRESTAÇÃO DE SERVIÇOS EM NUVEM, ENGLOBANDO SERVIÇOS NAS MODALIDADES DE INFRAESTRUTURA COMO SERVIÇOS IAAS, DE SOFTWARE COMO SERVIÇO SAAS E PLATAFORMA COMO SERVIÇO PAAS"&amp;", INCLUINDO SERVIÇOS TÉCNICOS ESPECIALIZADOS DE CONSULTORIA, SUPORTE, ADMINISTRAÇÃO E MONITORAMENTO PARA IMPLEMENTAÇÃO DE SOLUÇÕES EM NUVEM E LINK DEDICADO PARA NUVEM, REF. AO MÊS DE JULHO, PROPORCIONAL A 22 DIAS DE 2024, CONF. CONTRATO Nº 023/2022.")</f>
        <v>PRESTAÇÃO DE SERVIÇOS EM NUVEM, ENGLOBANDO SERVIÇOS NAS MODALIDADES DE INFRAESTRUTURA COMO SERVIÇOS IAAS, DE SOFTWARE COMO SERVIÇO SAAS E PLATAFORMA COMO SERVIÇO PAAS, INCLUINDO SERVIÇOS TÉCNICOS ESPECIALIZADOS DE CONSULTORIA, SUPORTE, ADMINISTRAÇÃO E MONITORAMENTO PARA IMPLEMENTAÇÃO DE SOLUÇÕES EM NUVEM E LINK DEDICADO PARA NUVEM, REF. AO MÊS DE JULHO, PROPORCIONAL A 22 DIAS DE 2024, CONF. CONTRATO Nº 023/2022.</v>
      </c>
      <c r="F431" s="2" t="s">
        <v>618</v>
      </c>
      <c r="G431" s="5" t="str">
        <f>HYPERLINK("http://www8.mpce.mp.br/Empenhos/150501/NE/2024NE000701.pdf","2024NE000701")</f>
        <v>2024NE000701</v>
      </c>
      <c r="H431" s="6">
        <v>31935.48</v>
      </c>
      <c r="I431" s="7" t="s">
        <v>244</v>
      </c>
      <c r="J431" s="10" t="s">
        <v>245</v>
      </c>
      <c r="K431" t="str">
        <f>HYPERLINK("http://www8.mpce.mp.br/Empenhos/150001/NE/2024NE000366.pdf","2024NE000366")</f>
        <v>2024NE000366</v>
      </c>
      <c r="L431">
        <v>139</v>
      </c>
      <c r="M431" t="s">
        <v>408</v>
      </c>
      <c r="N431">
        <v>12967719000185</v>
      </c>
    </row>
    <row r="432" spans="1:14" ht="38.25" x14ac:dyDescent="0.25">
      <c r="A432" s="12" t="s">
        <v>9</v>
      </c>
      <c r="B432" s="2" t="s">
        <v>433</v>
      </c>
      <c r="C432" s="3" t="str">
        <f>HYPERLINK("https://transparencia-area-fim.mpce.mp.br/#/consulta/processo/pastadigital/092024000112517","09.2024.00011251-7")</f>
        <v>09.2024.00011251-7</v>
      </c>
      <c r="D432" s="4">
        <v>45384</v>
      </c>
      <c r="E432" s="16" t="s">
        <v>442</v>
      </c>
      <c r="F432" s="2" t="s">
        <v>59</v>
      </c>
      <c r="G432" s="5" t="str">
        <f>HYPERLINK("http://www8.mpce.mp.br/Empenhos/150001/NE/2024NE000702.pdf","2024NE000702")</f>
        <v>2024NE000702</v>
      </c>
      <c r="H432" s="6">
        <v>45000</v>
      </c>
      <c r="I432" s="7" t="s">
        <v>104</v>
      </c>
      <c r="J432" s="10" t="s">
        <v>105</v>
      </c>
      <c r="K432" t="str">
        <f>HYPERLINK("http://www8.mpce.mp.br/Empenhos/150001/NE/2024NE000367.pdf","2024NE000367")</f>
        <v>2024NE000367</v>
      </c>
      <c r="L432" s="13">
        <v>1529</v>
      </c>
      <c r="M432" t="s">
        <v>408</v>
      </c>
      <c r="N432">
        <v>12967719000185</v>
      </c>
    </row>
    <row r="433" spans="1:14" ht="76.5" x14ac:dyDescent="0.25">
      <c r="A433" s="12" t="s">
        <v>34</v>
      </c>
      <c r="B433" s="2" t="s">
        <v>622</v>
      </c>
      <c r="C433" s="3" t="str">
        <f>HYPERLINK("https://transparencia-area-fim.mpce.mp.br/#/consulta/processo/pastadigital/092023000117363","09.2023.00011736-3")</f>
        <v>09.2023.00011736-3</v>
      </c>
      <c r="D433" s="4">
        <v>45481</v>
      </c>
      <c r="E433" s="16" t="str">
        <f>HYPERLINK("https://www8.mpce.mp.br/Empenhos/150001/Objeto/32-2023.pdf","DISPONIBILIZAÇÃO DE SOLUÇÃO TECNOLÓGICA NA MODALIDADE SOFTWARE COMO SERVIÇO (SAAS) PARA GESTÃO INTEGRADA DE ESTRATÉGIA, PORTFÓLIO, PROJETOS, TAREFAS, REUNIÕES INDICADORES E PROCESSO, REF. AO MÊS DE JULHO DE 2024, CONF. CONTRATO Nº 032/2023.")</f>
        <v>DISPONIBILIZAÇÃO DE SOLUÇÃO TECNOLÓGICA NA MODALIDADE SOFTWARE COMO SERVIÇO (SAAS) PARA GESTÃO INTEGRADA DE ESTRATÉGIA, PORTFÓLIO, PROJETOS, TAREFAS, REUNIÕES INDICADORES E PROCESSO, REF. AO MÊS DE JULHO DE 2024, CONF. CONTRATO Nº 032/2023.</v>
      </c>
      <c r="F433" s="2" t="s">
        <v>608</v>
      </c>
      <c r="G433" s="5" t="str">
        <f>HYPERLINK("http://www8.mpce.mp.br/Empenhos/150501/NE/2024NE000703.pdf","2024NE000703")</f>
        <v>2024NE000703</v>
      </c>
      <c r="H433" s="6">
        <v>6216.42</v>
      </c>
      <c r="I433" s="7" t="s">
        <v>244</v>
      </c>
      <c r="J433" s="10" t="s">
        <v>245</v>
      </c>
      <c r="K433" t="str">
        <f>HYPERLINK("http://www8.mpce.mp.br/Empenhos/150001/NE/2024NE000367.pdf","2024NE000367")</f>
        <v>2024NE000367</v>
      </c>
      <c r="L433" s="13">
        <v>1529</v>
      </c>
      <c r="M433" t="s">
        <v>408</v>
      </c>
      <c r="N433">
        <v>12967719000185</v>
      </c>
    </row>
    <row r="434" spans="1:14" ht="51" x14ac:dyDescent="0.25">
      <c r="A434" s="12" t="s">
        <v>34</v>
      </c>
      <c r="B434" s="2" t="s">
        <v>443</v>
      </c>
      <c r="C434" s="3" t="str">
        <f>HYPERLINK("http://www8.mpce.mp.br/Dispensa/405320185.pdf","4053/2018-5")</f>
        <v>4053/2018-5</v>
      </c>
      <c r="D434" s="4">
        <v>45384</v>
      </c>
      <c r="E434" s="16" t="str">
        <f>HYPERLINK("https://www8.mpce.mp.br/Empenhos/150001/Objeto/35-2018.pdf","MANUTENÇÃO DE ELEVADOR NO PRÉDIO ANEXO DAS PROCURADORIAS, CONFORME CONTRATO 035/2018, POR ESTIMATIVA, RELATIVO AOS MESES DE ABRIL À JUNHO/2024.")</f>
        <v>MANUTENÇÃO DE ELEVADOR NO PRÉDIO ANEXO DAS PROCURADORIAS, CONFORME CONTRATO 035/2018, POR ESTIMATIVA, RELATIVO AOS MESES DE ABRIL À JUNHO/2024.</v>
      </c>
      <c r="F434" s="2" t="s">
        <v>137</v>
      </c>
      <c r="G434" s="5" t="str">
        <f>HYPERLINK("http://www8.mpce.mp.br/Empenhos/150001/NE/2024NE000703.pdf","2024NE000703")</f>
        <v>2024NE000703</v>
      </c>
      <c r="H434" s="6">
        <v>2850</v>
      </c>
      <c r="I434" s="7" t="s">
        <v>138</v>
      </c>
      <c r="J434" s="10" t="s">
        <v>139</v>
      </c>
      <c r="K434" t="str">
        <f>HYPERLINK("http://www8.mpce.mp.br/Empenhos/150001/NE/2024NE000367.pdf","2024NE000367")</f>
        <v>2024NE000367</v>
      </c>
      <c r="L434" s="13">
        <v>1529</v>
      </c>
      <c r="M434" t="s">
        <v>408</v>
      </c>
      <c r="N434">
        <v>12967719000185</v>
      </c>
    </row>
    <row r="435" spans="1:14" ht="25.5" x14ac:dyDescent="0.25">
      <c r="A435" s="12" t="s">
        <v>9</v>
      </c>
      <c r="B435" s="2" t="s">
        <v>623</v>
      </c>
      <c r="C435" s="3" t="str">
        <f t="shared" ref="C435:C441" si="0">HYPERLINK("https://transparencia-area-fim.mpce.mp.br/#/consulta/processo/pastadigital/092023000255300","09.2023.00025530-0")</f>
        <v>09.2023.00025530-0</v>
      </c>
      <c r="D435" s="4">
        <v>45481</v>
      </c>
      <c r="E435" s="16" t="str">
        <f>HYPERLINK("https://www8.mpce.mp.br/Empenhos/150001/Objeto/42-2024.pdf","HOSPEDAGEM EM NUVEM, REF. AO MÊS JULHO DE 2024, CONF. CONTRATO Nº 042/2024.")</f>
        <v>HOSPEDAGEM EM NUVEM, REF. AO MÊS JULHO DE 2024, CONF. CONTRATO Nº 042/2024.</v>
      </c>
      <c r="F435" s="2" t="s">
        <v>624</v>
      </c>
      <c r="G435" s="5" t="str">
        <f>HYPERLINK("http://www8.mpce.mp.br/Empenhos/150501/NE/2024NE000704.pdf","2024NE000704")</f>
        <v>2024NE000704</v>
      </c>
      <c r="H435" s="6">
        <v>104500</v>
      </c>
      <c r="I435" s="7" t="s">
        <v>72</v>
      </c>
      <c r="J435" s="10" t="s">
        <v>73</v>
      </c>
      <c r="K435" t="str">
        <f>HYPERLINK("http://www8.mpce.mp.br/Empenhos/150501/NE/2024NE000368.pdf","2024NE000368")</f>
        <v>2024NE000368</v>
      </c>
      <c r="L435">
        <v>100.29</v>
      </c>
      <c r="M435" t="s">
        <v>186</v>
      </c>
      <c r="N435">
        <v>43713017387</v>
      </c>
    </row>
    <row r="436" spans="1:14" ht="38.25" x14ac:dyDescent="0.25">
      <c r="A436" s="12" t="s">
        <v>9</v>
      </c>
      <c r="B436" s="2" t="s">
        <v>625</v>
      </c>
      <c r="C436" s="3" t="str">
        <f t="shared" si="0"/>
        <v>09.2023.00025530-0</v>
      </c>
      <c r="D436" s="4">
        <v>45481</v>
      </c>
      <c r="E436" s="16" t="str">
        <f>HYPERLINK("https://www8.mpce.mp.br/Empenhos/150001/Objeto/42-2024.pdf","SERVIÇO DE SUPORTE ESTENDIDO, REF. AOS DE MESES DE JUNHO (PROPORCIONAL 10 DIAS) E JULHO DE 2024, CONF. CONTRATO Nº 042/2024.")</f>
        <v>SERVIÇO DE SUPORTE ESTENDIDO, REF. AOS DE MESES DE JUNHO (PROPORCIONAL 10 DIAS) E JULHO DE 2024, CONF. CONTRATO Nº 042/2024.</v>
      </c>
      <c r="F436" s="2" t="s">
        <v>71</v>
      </c>
      <c r="G436" s="5" t="str">
        <f>HYPERLINK("http://www8.mpce.mp.br/Empenhos/150501/NE/2024NE000705.pdf","2024NE000705")</f>
        <v>2024NE000705</v>
      </c>
      <c r="H436" s="6">
        <v>18529.2</v>
      </c>
      <c r="I436" s="7" t="s">
        <v>72</v>
      </c>
      <c r="J436" s="10" t="s">
        <v>73</v>
      </c>
      <c r="K436" t="str">
        <f>HYPERLINK("http://www8.mpce.mp.br/Empenhos/150501/NE/2024NE000389.pdf","2024NE000389")</f>
        <v>2024NE000389</v>
      </c>
      <c r="L436" s="13">
        <v>251545.76</v>
      </c>
      <c r="M436" t="s">
        <v>244</v>
      </c>
      <c r="N436">
        <v>3773788000167</v>
      </c>
    </row>
    <row r="437" spans="1:14" ht="25.5" x14ac:dyDescent="0.25">
      <c r="A437" s="12" t="s">
        <v>9</v>
      </c>
      <c r="B437" s="2" t="s">
        <v>625</v>
      </c>
      <c r="C437" s="3" t="str">
        <f t="shared" si="0"/>
        <v>09.2023.00025530-0</v>
      </c>
      <c r="D437" s="4">
        <v>45481</v>
      </c>
      <c r="E437" s="16" t="str">
        <f>HYPERLINK("https://www8.mpce.mp.br/Empenhos/150001/Objeto/42-2024.pdf","LICENÇA DE MÓDULO DE GRAVAÇÃO DE AUDIÊNCIAS, REF. AO ANO DE 2024, CONF. CONTRATO Nº 042/2024.")</f>
        <v>LICENÇA DE MÓDULO DE GRAVAÇÃO DE AUDIÊNCIAS, REF. AO ANO DE 2024, CONF. CONTRATO Nº 042/2024.</v>
      </c>
      <c r="F437" s="2" t="s">
        <v>109</v>
      </c>
      <c r="G437" s="5" t="str">
        <f>HYPERLINK("http://www8.mpce.mp.br/Empenhos/150501/NE/2024NE000706.pdf","2024NE000706")</f>
        <v>2024NE000706</v>
      </c>
      <c r="H437" s="6">
        <v>195000</v>
      </c>
      <c r="I437" s="7" t="s">
        <v>72</v>
      </c>
      <c r="J437" s="10" t="s">
        <v>73</v>
      </c>
      <c r="K437" t="str">
        <f>HYPERLINK("http://www8.mpce.mp.br/Empenhos/150501/NE/2024NE000392.pdf","2024NE000392")</f>
        <v>2024NE000392</v>
      </c>
      <c r="L437" s="13">
        <v>3155.01</v>
      </c>
      <c r="M437" t="s">
        <v>142</v>
      </c>
      <c r="N437">
        <v>8744388000147</v>
      </c>
    </row>
    <row r="438" spans="1:14" ht="51" x14ac:dyDescent="0.25">
      <c r="A438" s="12" t="s">
        <v>9</v>
      </c>
      <c r="B438" s="2" t="s">
        <v>623</v>
      </c>
      <c r="C438" s="3" t="str">
        <f t="shared" si="0"/>
        <v>09.2023.00025530-0</v>
      </c>
      <c r="D438" s="4">
        <v>45481</v>
      </c>
      <c r="E438" s="16" t="str">
        <f>HYPERLINK("https://www8.mpce.mp.br/Empenhos/150001/Objeto/42-2024.pdf","SISTEMA SAJ-MP  ACOMPANHAMENTO DA OPERAÇÃO E HOSPEDAGEM EM NUVEM, REF. AOS MESES DE JUNHO (PROPORCIONAL A 10 DIAS) E MÊS DE JULHO DE 2024, CONF. CONTRATO Nº 042/2024.")</f>
        <v>SISTEMA SAJ-MP  ACOMPANHAMENTO DA OPERAÇÃO E HOSPEDAGEM EM NUVEM, REF. AOS MESES DE JUNHO (PROPORCIONAL A 10 DIAS) E MÊS DE JULHO DE 2024, CONF. CONTRATO Nº 042/2024.</v>
      </c>
      <c r="F438" s="2" t="s">
        <v>624</v>
      </c>
      <c r="G438" s="5" t="str">
        <f>HYPERLINK("http://www8.mpce.mp.br/Empenhos/150501/NE/2024NE000707.pdf","2024NE000707")</f>
        <v>2024NE000707</v>
      </c>
      <c r="H438" s="6">
        <v>97142.66</v>
      </c>
      <c r="I438" s="7" t="s">
        <v>72</v>
      </c>
      <c r="J438" s="10" t="s">
        <v>73</v>
      </c>
      <c r="K438" t="str">
        <f>HYPERLINK("http://www8.mpce.mp.br/Empenhos/150501/NE/2024NE000393.pdf","2024NE000393")</f>
        <v>2024NE000393</v>
      </c>
      <c r="L438" s="13">
        <v>71579.399999999994</v>
      </c>
      <c r="M438" t="s">
        <v>120</v>
      </c>
      <c r="N438">
        <v>41548652000142</v>
      </c>
    </row>
    <row r="439" spans="1:14" ht="38.25" x14ac:dyDescent="0.25">
      <c r="A439" s="12" t="s">
        <v>9</v>
      </c>
      <c r="B439" s="2" t="s">
        <v>623</v>
      </c>
      <c r="C439" s="3" t="str">
        <f t="shared" si="0"/>
        <v>09.2023.00025530-0</v>
      </c>
      <c r="D439" s="4">
        <v>45481</v>
      </c>
      <c r="E439" s="16" t="str">
        <f>HYPERLINK("https://www8.mpce.mp.br/Empenhos/150001/Objeto/42-2024.pdf","SISTEMA SAJ-MP - SUPORTE 1° NÍVEL, REF. AOS MESES DE JUNHO (PROPORCIONAL A 10 DIAS) E JULHO DE 2024, CONF. CONTRATO Nº 042/2024.")</f>
        <v>SISTEMA SAJ-MP - SUPORTE 1° NÍVEL, REF. AOS MESES DE JUNHO (PROPORCIONAL A 10 DIAS) E JULHO DE 2024, CONF. CONTRATO Nº 042/2024.</v>
      </c>
      <c r="F439" s="2" t="s">
        <v>71</v>
      </c>
      <c r="G439" s="5" t="str">
        <f>HYPERLINK("http://www8.mpce.mp.br/Empenhos/150501/NE/2024NE000708.pdf","2024NE000708")</f>
        <v>2024NE000708</v>
      </c>
      <c r="H439" s="6">
        <v>228249.60000000001</v>
      </c>
      <c r="I439" s="7" t="s">
        <v>72</v>
      </c>
      <c r="J439" s="10" t="s">
        <v>73</v>
      </c>
      <c r="K439" t="str">
        <f>HYPERLINK("http://www8.mpce.mp.br/Empenhos/150501/NE/2024NE000394.pdf","2024NE000394")</f>
        <v>2024NE000394</v>
      </c>
      <c r="L439" s="13">
        <v>11200</v>
      </c>
      <c r="M439" t="s">
        <v>123</v>
      </c>
      <c r="N439">
        <v>12255352000177</v>
      </c>
    </row>
    <row r="440" spans="1:14" ht="38.25" x14ac:dyDescent="0.25">
      <c r="A440" s="12" t="s">
        <v>9</v>
      </c>
      <c r="B440" s="2" t="s">
        <v>623</v>
      </c>
      <c r="C440" s="3" t="str">
        <f t="shared" si="0"/>
        <v>09.2023.00025530-0</v>
      </c>
      <c r="D440" s="4">
        <v>45481</v>
      </c>
      <c r="E440" s="16" t="str">
        <f>HYPERLINK("https://www8.mpce.mp.br/Empenhos/150001/Objeto/42-2024.pdf","SISTEMA SAJ-MP | GETF, REF. AOS MESES DE JUNHO (PROPORCIONAL A 10 DIAS) E JULHO DE 2024, CONF. CONTRATO Nº 042/2024.")</f>
        <v>SISTEMA SAJ-MP | GETF, REF. AOS MESES DE JUNHO (PROPORCIONAL A 10 DIAS) E JULHO DE 2024, CONF. CONTRATO Nº 042/2024.</v>
      </c>
      <c r="F440" s="2" t="s">
        <v>71</v>
      </c>
      <c r="G440" s="5" t="str">
        <f>HYPERLINK("http://www8.mpce.mp.br/Empenhos/150501/NE/2024NE000709.pdf","2024NE000709")</f>
        <v>2024NE000709</v>
      </c>
      <c r="H440" s="6">
        <v>204570.66</v>
      </c>
      <c r="I440" s="7" t="s">
        <v>72</v>
      </c>
      <c r="J440" s="10" t="s">
        <v>73</v>
      </c>
      <c r="K440" t="str">
        <f>HYPERLINK("http://www8.mpce.mp.br/Empenhos/150501/NE/2024NE000397.pdf","2024NE000397")</f>
        <v>2024NE000397</v>
      </c>
      <c r="L440" s="13">
        <v>11092.2</v>
      </c>
      <c r="M440" t="s">
        <v>144</v>
      </c>
      <c r="N440">
        <v>22588967000179</v>
      </c>
    </row>
    <row r="441" spans="1:14" ht="38.25" x14ac:dyDescent="0.25">
      <c r="A441" s="12" t="s">
        <v>9</v>
      </c>
      <c r="B441" s="2" t="s">
        <v>623</v>
      </c>
      <c r="C441" s="3" t="str">
        <f t="shared" si="0"/>
        <v>09.2023.00025530-0</v>
      </c>
      <c r="D441" s="4">
        <v>45481</v>
      </c>
      <c r="E441" s="16" t="str">
        <f>HYPERLINK("https://www8.mpce.mp.br/Empenhos/150001/Objeto/42-2024.pdf","SISTEMA SAJ-MP | SUSTENTAÇÃO, REF. AOS MESES DE JUNHO (PROPORCIONAL A 10 DIAS) E JULHO DE 2024, CONF. CONTRATO 042/2024.")</f>
        <v>SISTEMA SAJ-MP | SUSTENTAÇÃO, REF. AOS MESES DE JUNHO (PROPORCIONAL A 10 DIAS) E JULHO DE 2024, CONF. CONTRATO 042/2024.</v>
      </c>
      <c r="F441" s="2" t="s">
        <v>71</v>
      </c>
      <c r="G441" s="5" t="str">
        <f>HYPERLINK("http://www8.mpce.mp.br/Empenhos/150501/NE/2024NE000710.pdf","2024NE000710")</f>
        <v>2024NE000710</v>
      </c>
      <c r="H441" s="6">
        <v>110144</v>
      </c>
      <c r="I441" s="7" t="s">
        <v>72</v>
      </c>
      <c r="J441" s="10" t="s">
        <v>73</v>
      </c>
      <c r="K441" t="str">
        <f>HYPERLINK("http://www8.mpce.mp.br/Empenhos/150501/NE/2024NE000398.pdf","2024NE000398")</f>
        <v>2024NE000398</v>
      </c>
      <c r="L441" s="13">
        <v>2975.76</v>
      </c>
      <c r="M441" t="s">
        <v>144</v>
      </c>
      <c r="N441">
        <v>22588967000179</v>
      </c>
    </row>
    <row r="442" spans="1:14" ht="25.5" x14ac:dyDescent="0.25">
      <c r="A442" s="12" t="s">
        <v>9</v>
      </c>
      <c r="B442" s="2" t="s">
        <v>626</v>
      </c>
      <c r="C442" s="3" t="str">
        <f>HYPERLINK("https://transparencia-area-fim.mpce.mp.br/#/consulta/processo/pastadigital/092023000287946","09.2023.00028794-6")</f>
        <v>09.2023.00028794-6</v>
      </c>
      <c r="D442" s="4">
        <v>45481</v>
      </c>
      <c r="E442" s="16" t="str">
        <f>HYPERLINK("https://www8.mpce.mp.br/Empenhos/150001/Objeto/59-2023.pdf","LICENÇA DE SOFTWARE, REF. AO MÊS DE JULHO DE 2024, CONF. CONTRATO Nº 059/2023.")</f>
        <v>LICENÇA DE SOFTWARE, REF. AO MÊS DE JULHO DE 2024, CONF. CONTRATO Nº 059/2023.</v>
      </c>
      <c r="F442" s="2" t="s">
        <v>109</v>
      </c>
      <c r="G442" s="5" t="str">
        <f>HYPERLINK("http://www8.mpce.mp.br/Empenhos/150501/NE/2024NE000711.pdf","2024NE000711")</f>
        <v>2024NE000711</v>
      </c>
      <c r="H442" s="6">
        <v>2531.5</v>
      </c>
      <c r="I442" s="7" t="s">
        <v>110</v>
      </c>
      <c r="J442" s="10" t="s">
        <v>111</v>
      </c>
      <c r="K442" t="str">
        <f>HYPERLINK("http://www8.mpce.mp.br/Empenhos/150501/NE/2024NE000399.pdf","2024NE000399")</f>
        <v>2024NE000399</v>
      </c>
      <c r="L442">
        <v>924.98</v>
      </c>
      <c r="M442" t="s">
        <v>144</v>
      </c>
      <c r="N442">
        <v>22588967000179</v>
      </c>
    </row>
    <row r="443" spans="1:14" ht="38.25" x14ac:dyDescent="0.25">
      <c r="A443" s="12" t="s">
        <v>9</v>
      </c>
      <c r="B443" s="2" t="s">
        <v>627</v>
      </c>
      <c r="C443" s="3" t="str">
        <f>HYPERLINK("https://transparencia-area-fim.mpce.mp.br/#/consulta/processo/pastadigital/092021000189150","09.2021.00018915-0")</f>
        <v>09.2021.00018915-0</v>
      </c>
      <c r="D443" s="4">
        <v>45481</v>
      </c>
      <c r="E443" s="16" t="str">
        <f>HYPERLINK("https://www8.mpce.mp.br/Empenhos/150001/Objeto/09-2022.pdf","SERVIÇOS DE EXTENSÃO DE GARANTIA PARA O DATA CENTER, REF. AO MÊS DE JULHO DE 2024, CONF. CONTRATO Nº 009/2022.")</f>
        <v>SERVIÇOS DE EXTENSÃO DE GARANTIA PARA O DATA CENTER, REF. AO MÊS DE JULHO DE 2024, CONF. CONTRATO Nº 009/2022.</v>
      </c>
      <c r="F443" s="2" t="s">
        <v>262</v>
      </c>
      <c r="G443" s="5" t="str">
        <f>HYPERLINK("http://www8.mpce.mp.br/Empenhos/150501/NE/2024NE000712.pdf","2024NE000712")</f>
        <v>2024NE000712</v>
      </c>
      <c r="H443" s="6">
        <v>19378.669999999998</v>
      </c>
      <c r="I443" s="7" t="s">
        <v>263</v>
      </c>
      <c r="J443" s="10" t="s">
        <v>831</v>
      </c>
      <c r="K443" t="str">
        <f>HYPERLINK("http://www8.mpce.mp.br/Empenhos/150501/NE/2024NE000401.pdf","2024NE000401")</f>
        <v>2024NE000401</v>
      </c>
      <c r="L443" s="13">
        <v>4376.0200000000004</v>
      </c>
      <c r="M443" t="s">
        <v>236</v>
      </c>
      <c r="N443">
        <v>49090674349</v>
      </c>
    </row>
    <row r="444" spans="1:14" ht="38.25" x14ac:dyDescent="0.25">
      <c r="A444" s="12" t="s">
        <v>34</v>
      </c>
      <c r="B444" s="2" t="s">
        <v>628</v>
      </c>
      <c r="C444" s="3" t="str">
        <f>HYPERLINK("https://transparencia-area-fim.mpce.mp.br/#/consulta/processo/pastadigital/092020000096883","09.2020.00009688-3")</f>
        <v>09.2020.00009688-3</v>
      </c>
      <c r="D444" s="4">
        <v>45481</v>
      </c>
      <c r="E444" s="16" t="str">
        <f>HYPERLINK("https://www8.mpce.mp.br/Empenhos/150001/Objeto/28-2020.pdf","SERVIÇOS DE SUPORTE E FORNECIMENTO DOS SERVIÇOS COMPUTACIONAIS DA PLATAFORMA GOOGLE MAPS, REF. AO MÊS DE JULHO DE 2024, CONF. CONTRATO Nº 028/2020.")</f>
        <v>SERVIÇOS DE SUPORTE E FORNECIMENTO DOS SERVIÇOS COMPUTACIONAIS DA PLATAFORMA GOOGLE MAPS, REF. AO MÊS DE JULHO DE 2024, CONF. CONTRATO Nº 028/2020.</v>
      </c>
      <c r="F444" s="2" t="s">
        <v>71</v>
      </c>
      <c r="G444" s="5" t="str">
        <f>HYPERLINK("http://www8.mpce.mp.br/Empenhos/150501/NE/2024NE000713.pdf","2024NE000713")</f>
        <v>2024NE000713</v>
      </c>
      <c r="H444" s="6">
        <v>300</v>
      </c>
      <c r="I444" s="7" t="s">
        <v>257</v>
      </c>
      <c r="J444" s="10" t="s">
        <v>830</v>
      </c>
      <c r="K444" t="str">
        <f>HYPERLINK("http://www8.mpce.mp.br/Empenhos/150501/NE/2024NE000406.pdf","2024NE000406")</f>
        <v>2024NE000406</v>
      </c>
      <c r="L444" s="13">
        <v>2862.7</v>
      </c>
      <c r="M444" t="s">
        <v>140</v>
      </c>
      <c r="N444">
        <v>15473585000134</v>
      </c>
    </row>
    <row r="445" spans="1:14" ht="150" x14ac:dyDescent="0.25">
      <c r="A445" s="12" t="s">
        <v>9</v>
      </c>
      <c r="B445" s="2" t="s">
        <v>629</v>
      </c>
      <c r="C445" s="3" t="str">
        <f>HYPERLINK("https://transparencia-area-fim.mpce.mp.br/#/consulta/processo/pastadigital/092023000079630","09.2023.00007963-0")</f>
        <v>09.2023.00007963-0</v>
      </c>
      <c r="D445" s="4">
        <v>45482</v>
      </c>
      <c r="E445" s="17" t="str">
        <f>HYPERLINK("https://www8.mpce.mp.br/Empenhos/150001/Objeto/15-2023.pdf","PRESTAÇÃO DE SERVIÇOS TÉCNICOS ESPECIALIZADOS DE PESQUISA E ACONSELHAMENTO IMPARCIAL EM TECNOLOGIA DA INFORMAÇÃO- EXECUTIVE PROGRAMS LEADERSHIP TEAM PLUS"&amp;" LEADER E TEAM PLUS IT EXECUTIVE _ LICENÇA DE ATUAÇÃO ESTRATÉGICA DE APOIO E ACONSELHAMENTO PARA EXECUTIVO DE TI, P/ USUÁRIO EXECUTIVO TITULAR, INCLUINDO ACESSO A UM CONSELHEIRO "&amp;"EXECUTIVO, ACESSO A ANALISTAS E A BASE DE CONHECIMENTO DESTINADAS AO NÍVEL DE ATUAÇÃO GERENCIAL, REF. AO MÊS DE JULHO DE 2024, CONF. CONTRATO 015/2023.")</f>
        <v>PRESTAÇÃO DE SERVIÇOS TÉCNICOS ESPECIALIZADOS DE PESQUISA E ACONSELHAMENTO IMPARCIAL EM TECNOLOGIA DA INFORMAÇÃO- EXECUTIVE PROGRAMS LEADERSHIP TEAM PLUS LEADER E TEAM PLUS IT EXECUTIVE _ LICENÇA DE ATUAÇÃO ESTRATÉGICA DE APOIO E ACONSELHAMENTO PARA EXECUTIVO DE TI, P/ USUÁRIO EXECUTIVO TITULAR, INCLUINDO ACESSO A UM CONSELHEIRO EXECUTIVO, ACESSO A ANALISTAS E A BASE DE CONHECIMENTO DESTINADAS AO NÍVEL DE ATUAÇÃO GERENCIAL, REF. AO MÊS DE JULHO DE 2024, CONF. CONTRATO 015/2023.</v>
      </c>
      <c r="F445" s="2" t="s">
        <v>109</v>
      </c>
      <c r="G445" s="5" t="str">
        <f>HYPERLINK("http://www8.mpce.mp.br/Empenhos/150501/NE/2024NE000714.pdf","2024NE000714")</f>
        <v>2024NE000714</v>
      </c>
      <c r="H445" s="6">
        <v>65600</v>
      </c>
      <c r="I445" s="7" t="s">
        <v>113</v>
      </c>
      <c r="J445" s="10" t="s">
        <v>114</v>
      </c>
      <c r="K445" t="str">
        <f>HYPERLINK("http://www8.mpce.mp.br/Empenhos/150501/NE/2024NE000410.pdf","2024NE000410")</f>
        <v>2024NE000410</v>
      </c>
      <c r="L445" s="13">
        <v>8000</v>
      </c>
      <c r="M445" t="s">
        <v>162</v>
      </c>
      <c r="N445">
        <v>19678451824</v>
      </c>
    </row>
    <row r="446" spans="1:14" ht="25.5" x14ac:dyDescent="0.25">
      <c r="A446" s="12" t="s">
        <v>9</v>
      </c>
      <c r="B446" s="2" t="s">
        <v>625</v>
      </c>
      <c r="C446" s="3" t="str">
        <f>HYPERLINK("https://transparencia-area-fim.mpce.mp.br/#/consulta/processo/pastadigital/092023000255300","09.2023.00025530-0")</f>
        <v>09.2023.00025530-0</v>
      </c>
      <c r="D446" s="4">
        <v>45495</v>
      </c>
      <c r="E446" s="16" t="str">
        <f>HYPERLINK("https://www8.mpce.mp.br/Empenhos/150001/Objeto/42-2024.pdf","SERVIÇOS DE HOSPEDAGEM EM NUVEM, REF. AO MÊS DE JULHO DE 2024, CONF. CONTRATO Nº 042/2024.")</f>
        <v>SERVIÇOS DE HOSPEDAGEM EM NUVEM, REF. AO MÊS DE JULHO DE 2024, CONF. CONTRATO Nº 042/2024.</v>
      </c>
      <c r="F446" s="2" t="s">
        <v>624</v>
      </c>
      <c r="G446" s="5" t="str">
        <f>HYPERLINK("http://www8.mpce.mp.br/Empenhos/150501/NE/2024NE000716.pdf","2024NE000716")</f>
        <v>2024NE000716</v>
      </c>
      <c r="H446" s="6">
        <v>104500</v>
      </c>
      <c r="I446" s="7" t="s">
        <v>72</v>
      </c>
      <c r="J446" s="10" t="s">
        <v>73</v>
      </c>
      <c r="K446" t="str">
        <f>HYPERLINK("http://www8.mpce.mp.br/Empenhos/150501/NE/2024NE000418.pdf","2024NE000418")</f>
        <v>2024NE000418</v>
      </c>
      <c r="L446" s="13">
        <v>52000</v>
      </c>
      <c r="M446" t="s">
        <v>175</v>
      </c>
      <c r="N446">
        <v>14763826000117</v>
      </c>
    </row>
    <row r="447" spans="1:14" ht="25.5" x14ac:dyDescent="0.25">
      <c r="A447" s="12" t="s">
        <v>9</v>
      </c>
      <c r="B447" s="2" t="s">
        <v>623</v>
      </c>
      <c r="C447" s="3" t="str">
        <f>HYPERLINK("https://transparencia-area-fim.mpce.mp.br/#/consulta/processo/pastadigital/092023000255300","09.2023.00025530-0")</f>
        <v>09.2023.00025530-0</v>
      </c>
      <c r="D447" s="4">
        <v>45483</v>
      </c>
      <c r="E447" s="16" t="str">
        <f>HYPERLINK("https://www8.mpce.mp.br/Empenhos/150001/Objeto/42-2024.pdf","SERVIÇOS DE SOB DEMANDA SISTEMA SAJ-MP, REF. AO MÊS DE JULHO, CONF. CONTRATO Nº 042/2024.")</f>
        <v>SERVIÇOS DE SOB DEMANDA SISTEMA SAJ-MP, REF. AO MÊS DE JULHO, CONF. CONTRATO Nº 042/2024.</v>
      </c>
      <c r="F447" s="2" t="s">
        <v>71</v>
      </c>
      <c r="G447" s="5" t="str">
        <f>HYPERLINK("http://www8.mpce.mp.br/Empenhos/150501/NE/2024NE000717.pdf","2024NE000717")</f>
        <v>2024NE000717</v>
      </c>
      <c r="H447" s="6">
        <v>44000</v>
      </c>
      <c r="I447" s="7" t="s">
        <v>72</v>
      </c>
      <c r="J447" s="10" t="s">
        <v>73</v>
      </c>
      <c r="K447" t="str">
        <f>HYPERLINK("http://www8.mpce.mp.br/Empenhos/150501/NE/2024NE000419.pdf","2024NE000419")</f>
        <v>2024NE000419</v>
      </c>
      <c r="L447" s="13">
        <v>3280.7</v>
      </c>
      <c r="M447" t="s">
        <v>144</v>
      </c>
      <c r="N447">
        <v>22588967000179</v>
      </c>
    </row>
    <row r="448" spans="1:14" ht="63.75" x14ac:dyDescent="0.25">
      <c r="A448" s="12" t="s">
        <v>34</v>
      </c>
      <c r="B448" s="2" t="s">
        <v>630</v>
      </c>
      <c r="C448" s="3" t="str">
        <f>HYPERLINK("https://transparencia-area-fim.mpce.mp.br/#/consulta/processo/pastadigital/092022000343795","09.2022.00034379-5")</f>
        <v>09.2022.00034379-5</v>
      </c>
      <c r="D448" s="4">
        <v>45483</v>
      </c>
      <c r="E448" s="16" t="str">
        <f>HYPERLINK("https://www8.mpce.mp.br/Empenhos/150001/Objeto/25-2023.pdf","EMPENHO DO IPTU DE 2024, PARCELA ÚNICA DO IMÓVEL ONDE FUNCIONAM AS PROMOTORIAS DE JUSTIÇA DE CANINDÉ, LOCALIZADO A RUA LARGO FRANCISCO XAVIER DE MEDEIROS, Nº 1181  BAIRRO IMACULADA CONCEIÇÃO, CONF. CONTRATO Nº 025/2023.")</f>
        <v>EMPENHO DO IPTU DE 2024, PARCELA ÚNICA DO IMÓVEL ONDE FUNCIONAM AS PROMOTORIAS DE JUSTIÇA DE CANINDÉ, LOCALIZADO A RUA LARGO FRANCISCO XAVIER DE MEDEIROS, Nº 1181  BAIRRO IMACULADA CONCEIÇÃO, CONF. CONTRATO Nº 025/2023.</v>
      </c>
      <c r="F448" s="2" t="s">
        <v>252</v>
      </c>
      <c r="G448" s="5" t="str">
        <f>HYPERLINK("http://www8.mpce.mp.br/Empenhos/150501/NE/2024NE000718.pdf","2024NE000718")</f>
        <v>2024NE000718</v>
      </c>
      <c r="H448" s="6">
        <v>1087.81</v>
      </c>
      <c r="I448" s="7" t="s">
        <v>234</v>
      </c>
      <c r="J448" s="10" t="s">
        <v>235</v>
      </c>
      <c r="K448" t="str">
        <f>HYPERLINK("http://www8.mpce.mp.br/Empenhos/150501/NE/2024NE000420.pdf","2024NE000420")</f>
        <v>2024NE000420</v>
      </c>
      <c r="L448" s="13">
        <v>91025.54</v>
      </c>
      <c r="M448" t="s">
        <v>151</v>
      </c>
      <c r="N448">
        <v>22705562000173</v>
      </c>
    </row>
    <row r="449" spans="1:14" ht="56.25" x14ac:dyDescent="0.25">
      <c r="A449" s="12" t="s">
        <v>34</v>
      </c>
      <c r="B449" s="2" t="s">
        <v>667</v>
      </c>
      <c r="C449" s="3" t="str">
        <f>HYPERLINK("http://www8.mpce.mp.br/Dispensa/3072520194.pdf","30725/2019-4")</f>
        <v>30725/2019-4</v>
      </c>
      <c r="D449" s="4">
        <v>45484</v>
      </c>
      <c r="E449" s="16" t="str">
        <f>HYPERLINK("https://www8.mpce.mp.br/Empenhos/150001/Objeto/06-2020.pdf","EMPENHO REF. SERVIÇOS DE NUVEM E TRANSPORTE DE DADOS POR MEIO DO CINTURÃO DIGITAL DO CEARÁ (CDC), CONF. CONTRATO 006/2020, REF. MAI E JUN/2024 (SOLICITAÇÃO DE FLS. 22/23).")</f>
        <v>EMPENHO REF. SERVIÇOS DE NUVEM E TRANSPORTE DE DADOS POR MEIO DO CINTURÃO DIGITAL DO CEARÁ (CDC), CONF. CONTRATO 006/2020, REF. MAI E JUN/2024 (SOLICITAÇÃO DE FLS. 22/23).</v>
      </c>
      <c r="F449" s="2" t="s">
        <v>618</v>
      </c>
      <c r="G449" s="5" t="str">
        <f>HYPERLINK("http://www8.mpce.mp.br/Empenhos/150501/NE/2024NE000720.pdf","2024NE000720")</f>
        <v>2024NE000720</v>
      </c>
      <c r="H449" s="6">
        <v>45127.360000000001</v>
      </c>
      <c r="I449" s="7" t="s">
        <v>244</v>
      </c>
      <c r="J449" s="10" t="s">
        <v>245</v>
      </c>
      <c r="K449" t="str">
        <f>HYPERLINK("http://www8.mpce.mp.br/Empenhos/150501/NE/2024NE000422.pdf","2024NE000422")</f>
        <v>2024NE000422</v>
      </c>
      <c r="L449" s="13">
        <v>2800</v>
      </c>
      <c r="M449" t="s">
        <v>173</v>
      </c>
      <c r="N449">
        <v>50591630320</v>
      </c>
    </row>
    <row r="450" spans="1:14" ht="51" x14ac:dyDescent="0.25">
      <c r="A450" s="12" t="s">
        <v>34</v>
      </c>
      <c r="B450" s="2" t="s">
        <v>668</v>
      </c>
      <c r="C450" s="3" t="str">
        <f>HYPERLINK("http://www8.mpce.mp.br/Dispensa/842220170.pdf","8422/20170")</f>
        <v>8422/20170</v>
      </c>
      <c r="D450" s="4">
        <v>45484</v>
      </c>
      <c r="E450" s="16" t="str">
        <f>HYPERLINK("https://www8.mpce.mp.br/Empenhos/150001/Objeto/16-2017.pdf","EMPENHO REF. REEMBOLSO DE TAXA DE LIXO-TMRSU DE IMÓVEL ONDE FUNCIONA SEDE DE PROMOTORIAS DE JUSTIÇA CRIMINAL DE FORTALEZA, CONF. CONTRATO 016/2017, REF. 2024 - 6ª PARCELA.")</f>
        <v>EMPENHO REF. REEMBOLSO DE TAXA DE LIXO-TMRSU DE IMÓVEL ONDE FUNCIONA SEDE DE PROMOTORIAS DE JUSTIÇA CRIMINAL DE FORTALEZA, CONF. CONTRATO 016/2017, REF. 2024 - 6ª PARCELA.</v>
      </c>
      <c r="F450" s="2" t="s">
        <v>252</v>
      </c>
      <c r="G450" s="5" t="str">
        <f>HYPERLINK("http://www8.mpce.mp.br/Empenhos/150501/NE/2024NE000722.pdf","2024NE000722")</f>
        <v>2024NE000722</v>
      </c>
      <c r="H450" s="6">
        <v>152.32</v>
      </c>
      <c r="I450" s="7" t="s">
        <v>158</v>
      </c>
      <c r="J450" s="10" t="s">
        <v>159</v>
      </c>
      <c r="K450" t="str">
        <f>HYPERLINK("http://www8.mpce.mp.br/Empenhos/150501/NE/2024NE000423.pdf","2024NE000423")</f>
        <v>2024NE000423</v>
      </c>
      <c r="L450" s="13">
        <v>44286.96</v>
      </c>
      <c r="M450" t="s">
        <v>153</v>
      </c>
      <c r="N450">
        <v>10508750000122</v>
      </c>
    </row>
    <row r="451" spans="1:14" ht="51" x14ac:dyDescent="0.25">
      <c r="A451" s="12" t="s">
        <v>34</v>
      </c>
      <c r="B451" s="2" t="s">
        <v>613</v>
      </c>
      <c r="C451" s="3" t="str">
        <f>HYPERLINK("http://www8.mpce.mp.br/Dispensa/842220170.pdf","8422/20170")</f>
        <v>8422/20170</v>
      </c>
      <c r="D451" s="4">
        <v>45484</v>
      </c>
      <c r="E451" s="16" t="str">
        <f>HYPERLINK("https://www8.mpce.mp.br/Empenhos/150001/Objeto/16-2017.pdf","EMPENHO REF. REEMBOLSO DE IPTU DE IMÓVEL ONDE FUNCIONA SEDE DE PROMOTORIAS DE JUSTIÇA CRIMINAL DE FORTALEZA, CONF. CONTRATO 016/2017, REF. 2024 - 6ª PARCELA.")</f>
        <v>EMPENHO REF. REEMBOLSO DE IPTU DE IMÓVEL ONDE FUNCIONA SEDE DE PROMOTORIAS DE JUSTIÇA CRIMINAL DE FORTALEZA, CONF. CONTRATO 016/2017, REF. 2024 - 6ª PARCELA.</v>
      </c>
      <c r="F451" s="2" t="s">
        <v>252</v>
      </c>
      <c r="G451" s="5" t="str">
        <f>HYPERLINK("http://www8.mpce.mp.br/Empenhos/150501/NE/2024NE000723.pdf","2024NE000723")</f>
        <v>2024NE000723</v>
      </c>
      <c r="H451" s="6">
        <v>2619.0100000000002</v>
      </c>
      <c r="I451" s="7" t="s">
        <v>158</v>
      </c>
      <c r="J451" s="10" t="s">
        <v>159</v>
      </c>
      <c r="K451" t="str">
        <f>HYPERLINK("http://www8.mpce.mp.br/Empenhos/150501/NE/2024NE000424.pdf","2024NE000424")</f>
        <v>2024NE000424</v>
      </c>
      <c r="L451" s="13">
        <v>117821.94</v>
      </c>
      <c r="M451" t="s">
        <v>470</v>
      </c>
      <c r="N451">
        <v>23872706000149</v>
      </c>
    </row>
    <row r="452" spans="1:14" ht="51" x14ac:dyDescent="0.25">
      <c r="A452" s="12" t="s">
        <v>34</v>
      </c>
      <c r="B452" s="2" t="s">
        <v>669</v>
      </c>
      <c r="C452" s="3" t="str">
        <f>HYPERLINK("https://transparencia-area-fim.mpce.mp.br/#/consulta/processo/pastadigital/092021000065217","09.2021.00006521-7")</f>
        <v>09.2021.00006521-7</v>
      </c>
      <c r="D452" s="4">
        <v>45484</v>
      </c>
      <c r="E452" s="16" t="str">
        <f>HYPERLINK("https://www8.mpce.mp.br/Empenhos/150001/Objeto/38-2021.pdf","EMPENHO REF. REEMBOLSO DE IPTU DE IMÓVEL SITUADO EM TAUÁ-CE, ONDE FUNCIONA SEDE DE PROMOTORIAS DE JUSTIÇA DAQUELA COMARCA, CONF. CONTRATO 038/2021, REF. 2024 - PARC. ÚNICA.")</f>
        <v>EMPENHO REF. REEMBOLSO DE IPTU DE IMÓVEL SITUADO EM TAUÁ-CE, ONDE FUNCIONA SEDE DE PROMOTORIAS DE JUSTIÇA DAQUELA COMARCA, CONF. CONTRATO 038/2021, REF. 2024 - PARC. ÚNICA.</v>
      </c>
      <c r="F452" s="2" t="s">
        <v>252</v>
      </c>
      <c r="G452" s="5" t="str">
        <f>HYPERLINK("http://www8.mpce.mp.br/Empenhos/150501/NE/2024NE000724.pdf","2024NE000724")</f>
        <v>2024NE000724</v>
      </c>
      <c r="H452" s="6">
        <v>2115.4299999999998</v>
      </c>
      <c r="I452" s="7" t="s">
        <v>146</v>
      </c>
      <c r="J452" s="10" t="s">
        <v>147</v>
      </c>
      <c r="K452" t="str">
        <f>HYPERLINK("http://www8.mpce.mp.br/Empenhos/150501/NE/2024NE000428.pdf","2024NE000428")</f>
        <v>2024NE000428</v>
      </c>
      <c r="L452" s="13">
        <v>117821.94</v>
      </c>
      <c r="M452" t="s">
        <v>158</v>
      </c>
      <c r="N452">
        <v>5569807000163</v>
      </c>
    </row>
    <row r="453" spans="1:14" ht="56.25" x14ac:dyDescent="0.25">
      <c r="A453" s="12" t="s">
        <v>34</v>
      </c>
      <c r="B453" s="2" t="s">
        <v>670</v>
      </c>
      <c r="C453" s="3" t="str">
        <f>HYPERLINK("https://transparencia-area-fim.mpce.mp.br/#/consulta/processo/pastadigital/092024000041915","09.2024.00004191-5")</f>
        <v>09.2024.00004191-5</v>
      </c>
      <c r="D453" s="4">
        <v>45488</v>
      </c>
      <c r="E453" s="16" t="s">
        <v>671</v>
      </c>
      <c r="F453" s="2" t="s">
        <v>672</v>
      </c>
      <c r="G453" s="5" t="str">
        <f>HYPERLINK("http://www8.mpce.mp.br/Empenhos/150501/NE/2024NE000727.pdf","2024NE000727")</f>
        <v>2024NE000727</v>
      </c>
      <c r="H453" s="6">
        <v>21689.95</v>
      </c>
      <c r="I453" s="7" t="s">
        <v>673</v>
      </c>
      <c r="J453" s="10" t="s">
        <v>855</v>
      </c>
      <c r="K453" t="str">
        <f>HYPERLINK("http://www8.mpce.mp.br/Empenhos/150501/NE/2024NE000429.pdf","2024NE000429")</f>
        <v>2024NE000429</v>
      </c>
      <c r="L453" s="13">
        <v>5646.54</v>
      </c>
      <c r="M453" t="s">
        <v>193</v>
      </c>
      <c r="N453">
        <v>35165286215</v>
      </c>
    </row>
    <row r="454" spans="1:14" ht="51" x14ac:dyDescent="0.25">
      <c r="A454" s="12" t="s">
        <v>9</v>
      </c>
      <c r="B454" s="2" t="s">
        <v>674</v>
      </c>
      <c r="C454" s="3" t="str">
        <f>HYPERLINK("https://transparencia-area-fim.mpce.mp.br/#/consulta/processo/pastadigital/092023000287946","09.2023.00028794-6")</f>
        <v>09.2023.00028794-6</v>
      </c>
      <c r="D454" s="4">
        <v>45490</v>
      </c>
      <c r="E454" s="16" t="str">
        <f>HYPERLINK("https://www8.mpce.mp.br/Empenhos/150001/Objeto/59-2023.pdf","EMPENHO REF. PARCELA ÚNICA DOS SERVIÇOS DE PROCESSAMENTO DO CICLO DE AVALIAÇÃO E SKILLING DE RECURSOS DE APRENDIZAGEM, CONF. CONTRATO 059/2023 ITENS 02 E 03.")</f>
        <v>EMPENHO REF. PARCELA ÚNICA DOS SERVIÇOS DE PROCESSAMENTO DO CICLO DE AVALIAÇÃO E SKILLING DE RECURSOS DE APRENDIZAGEM, CONF. CONTRATO 059/2023 ITENS 02 E 03.</v>
      </c>
      <c r="F454" s="2" t="s">
        <v>250</v>
      </c>
      <c r="G454" s="5" t="str">
        <f>HYPERLINK("http://www8.mpce.mp.br/Empenhos/150501/NE/2024NE000729.pdf","2024NE000729")</f>
        <v>2024NE000729</v>
      </c>
      <c r="H454" s="6">
        <v>31000</v>
      </c>
      <c r="I454" s="7" t="s">
        <v>110</v>
      </c>
      <c r="J454" s="10" t="s">
        <v>111</v>
      </c>
      <c r="K454" t="str">
        <f>HYPERLINK("http://www8.mpce.mp.br/Empenhos/150501/NE/2024NE000430.pdf","2024NE000430")</f>
        <v>2024NE000430</v>
      </c>
      <c r="L454">
        <v>447.85</v>
      </c>
      <c r="M454" t="s">
        <v>142</v>
      </c>
      <c r="N454">
        <v>8744388000147</v>
      </c>
    </row>
    <row r="455" spans="1:14" ht="38.25" x14ac:dyDescent="0.25">
      <c r="A455" s="12" t="s">
        <v>34</v>
      </c>
      <c r="B455" s="2" t="s">
        <v>334</v>
      </c>
      <c r="C455" s="3" t="str">
        <f>HYPERLINK("http://www8.mpce.mp.br/Dispensa/1721020046.pdf","17210/2004-6")</f>
        <v>17210/2004-6</v>
      </c>
      <c r="D455" s="4">
        <v>45490</v>
      </c>
      <c r="E455" s="16" t="str">
        <f>HYPERLINK("https://www8.mpce.mp.br/Empenhos/150001/Objeto/02-2004.pdf","EMPENHO REF. INDENIZAÇÃO DECORRENTE DOS REPAROS FEITOS NO PRÉDIO ONDE ESTAVA INSTALADA A SEDE DO DECON/CE, CONF. CONTRATO 002/2004.")</f>
        <v>EMPENHO REF. INDENIZAÇÃO DECORRENTE DOS REPAROS FEITOS NO PRÉDIO ONDE ESTAVA INSTALADA A SEDE DO DECON/CE, CONF. CONTRATO 002/2004.</v>
      </c>
      <c r="F455" s="2" t="s">
        <v>675</v>
      </c>
      <c r="G455" s="5" t="str">
        <f>HYPERLINK("http://www8.mpce.mp.br/Empenhos/150501/NE/2024NE000731.pdf","2024NE000731")</f>
        <v>2024NE000731</v>
      </c>
      <c r="H455" s="6">
        <v>72584.44</v>
      </c>
      <c r="I455" s="7" t="s">
        <v>120</v>
      </c>
      <c r="J455" s="10" t="s">
        <v>121</v>
      </c>
      <c r="K455" t="str">
        <f>HYPERLINK("http://www8.mpce.mp.br/Empenhos/150501/NE/2024NE000431.pdf","2024NE000431")</f>
        <v>2024NE000431</v>
      </c>
      <c r="L455" s="13">
        <v>5871.42</v>
      </c>
      <c r="M455" t="s">
        <v>179</v>
      </c>
      <c r="N455">
        <v>77748638349</v>
      </c>
    </row>
    <row r="456" spans="1:14" ht="90" x14ac:dyDescent="0.25">
      <c r="A456" s="12" t="s">
        <v>34</v>
      </c>
      <c r="B456" s="2" t="s">
        <v>676</v>
      </c>
      <c r="C456" s="3" t="str">
        <f>HYPERLINK("https://transparencia-area-fim.mpce.mp.br/#/consulta/processo/pastadigital/092022000111032","09.2022.00011103-2")</f>
        <v>09.2022.00011103-2</v>
      </c>
      <c r="D456" s="4">
        <v>45492</v>
      </c>
      <c r="E456" s="17" t="str">
        <f>HYPERLINK("https://www8.mpce.mp.br/Empenhos/150001/Objeto/23-2022.pdf","EMPENHO SUPLEMENTAR DA NED 2024NE000331 (SERVIÇOS DE NUVEM EM TI, CONF. CONTRATO 023/2022, REF. ABR/2024), PARA CONTEMPLAR TAMBÉM AS COMPETÊNCIAS MAI"&amp;" E JUN/2024 JÁ SOLICITADAS ÀS FLS. 81/82 DO PGA 09.2024.00011715-6/SAJ-MPCE, BEM COMO O PEDIDO DE REFORÇO DE FLS. 125/126.")</f>
        <v>EMPENHO SUPLEMENTAR DA NED 2024NE000331 (SERVIÇOS DE NUVEM EM TI, CONF. CONTRATO 023/2022, REF. ABR/2024), PARA CONTEMPLAR TAMBÉM AS COMPETÊNCIAS MAI E JUN/2024 JÁ SOLICITADAS ÀS FLS. 81/82 DO PGA 09.2024.00011715-6/SAJ-MPCE, BEM COMO O PEDIDO DE REFORÇO DE FLS. 125/126.</v>
      </c>
      <c r="F456" s="2" t="s">
        <v>516</v>
      </c>
      <c r="G456" s="5" t="str">
        <f>HYPERLINK("http://www8.mpce.mp.br/Empenhos/150501/NE/2024NE000739.pdf","2024NE000739")</f>
        <v>2024NE000739</v>
      </c>
      <c r="H456" s="6">
        <v>123286.67</v>
      </c>
      <c r="I456" s="7" t="s">
        <v>244</v>
      </c>
      <c r="J456" s="10" t="s">
        <v>245</v>
      </c>
      <c r="K456" t="str">
        <f>HYPERLINK("http://www8.mpce.mp.br/Empenhos/150501/NE/2024NE000432.pdf","2024NE000432")</f>
        <v>2024NE000432</v>
      </c>
      <c r="L456" s="13">
        <v>28000</v>
      </c>
      <c r="M456" t="s">
        <v>234</v>
      </c>
      <c r="N456">
        <v>29417319000107</v>
      </c>
    </row>
    <row r="457" spans="1:14" ht="63.75" x14ac:dyDescent="0.25">
      <c r="A457" s="12" t="s">
        <v>34</v>
      </c>
      <c r="B457" s="2" t="s">
        <v>677</v>
      </c>
      <c r="C457" s="3" t="str">
        <f>HYPERLINK("http://www8.mpce.mp.br/Dispensa/1984020196.pdf","19840/2019-6")</f>
        <v>19840/2019-6</v>
      </c>
      <c r="D457" s="4">
        <v>45497</v>
      </c>
      <c r="E457" s="16" t="str">
        <f>HYPERLINK("https://www8.mpce.mp.br/Empenhos/150001/Objeto/48-2019.pdf","EMPENHO DA PARCELA ÚNICA DO IPTU DE 2024, DO IMÓVEL ONDE FUNCIONA A PROMOTORIA DE JUSTIÇA DE CAUCAIA, LOCALIZADA À RUA MANOEL DA RÔCHA GOIS S/N, G R I L O - CAUCAIA /CE, CEP: 61.600-220, CONF. CONTRATO Nº 048/2019.")</f>
        <v>EMPENHO DA PARCELA ÚNICA DO IPTU DE 2024, DO IMÓVEL ONDE FUNCIONA A PROMOTORIA DE JUSTIÇA DE CAUCAIA, LOCALIZADA À RUA MANOEL DA RÔCHA GOIS S/N, G R I L O - CAUCAIA /CE, CEP: 61.600-220, CONF. CONTRATO Nº 048/2019.</v>
      </c>
      <c r="F457" s="2" t="s">
        <v>252</v>
      </c>
      <c r="G457" s="5" t="str">
        <f>HYPERLINK("http://www8.mpce.mp.br/Empenhos/150501/NE/2024NE000765.pdf","2024NE000765")</f>
        <v>2024NE000765</v>
      </c>
      <c r="H457" s="6">
        <v>5725.06</v>
      </c>
      <c r="I457" s="7" t="s">
        <v>151</v>
      </c>
      <c r="J457" s="10" t="s">
        <v>152</v>
      </c>
      <c r="K457" t="str">
        <f>HYPERLINK("http://www8.mpce.mp.br/Empenhos/150501/NE/2024NE000433.pdf","2024NE000433")</f>
        <v>2024NE000433</v>
      </c>
      <c r="L457" s="13">
        <v>66800.22</v>
      </c>
      <c r="M457" t="s">
        <v>134</v>
      </c>
      <c r="N457">
        <v>44114554000195</v>
      </c>
    </row>
    <row r="458" spans="1:14" ht="63.75" x14ac:dyDescent="0.25">
      <c r="A458" s="12" t="s">
        <v>34</v>
      </c>
      <c r="B458" s="2" t="s">
        <v>678</v>
      </c>
      <c r="C458" s="3" t="str">
        <f>HYPERLINK("https://transparencia-area-fim.mpce.mp.br/#/consulta/processo/pastadigital/092021000349974","09.2021.00034997-4")</f>
        <v>09.2021.00034997-4</v>
      </c>
      <c r="D458" s="4">
        <v>45498</v>
      </c>
      <c r="E458" s="16" t="str">
        <f>HYPERLINK("https://www8.mpce.mp.br/Empenhos/150001/Objeto/01-2022.pdf","EMPENHO REF. SUPORTE TÉCNICO PARA DESENVOLVIMENTO E IMPLEMENTAÇÃO DE CAMADA DE INTEROPERABILIDADE, INCLUINDO SERVIÇOS DE INTEGRAÇÃO DE SISTEMAS, CONF. CONTRATO 001/2022 ITEM 03, REF. JUL/2024, POR ESTIMATIVA.")</f>
        <v>EMPENHO REF. SUPORTE TÉCNICO PARA DESENVOLVIMENTO E IMPLEMENTAÇÃO DE CAMADA DE INTEROPERABILIDADE, INCLUINDO SERVIÇOS DE INTEGRAÇÃO DE SISTEMAS, CONF. CONTRATO 001/2022 ITEM 03, REF. JUL/2024, POR ESTIMATIVA.</v>
      </c>
      <c r="F458" s="2" t="s">
        <v>679</v>
      </c>
      <c r="G458" s="5" t="str">
        <f>HYPERLINK("http://www8.mpce.mp.br/Empenhos/150501/NE/2024NE000771.pdf","2024NE000771")</f>
        <v>2024NE000771</v>
      </c>
      <c r="H458" s="6">
        <v>256704</v>
      </c>
      <c r="I458" s="7" t="s">
        <v>244</v>
      </c>
      <c r="J458" s="10" t="s">
        <v>245</v>
      </c>
      <c r="K458" t="str">
        <f>HYPERLINK("http://www8.mpce.mp.br/Empenhos/150501/NE/2024NE000434.pdf","2024NE000434")</f>
        <v>2024NE000434</v>
      </c>
      <c r="L458" s="13">
        <v>3000</v>
      </c>
      <c r="M458" t="s">
        <v>191</v>
      </c>
      <c r="N458">
        <v>91495059391</v>
      </c>
    </row>
    <row r="459" spans="1:14" ht="63.75" x14ac:dyDescent="0.25">
      <c r="A459" s="12" t="s">
        <v>34</v>
      </c>
      <c r="B459" s="2" t="s">
        <v>680</v>
      </c>
      <c r="C459" s="3" t="str">
        <f>HYPERLINK("http://www8.mpce.mp.br/Dispensa/517520193.pdf","5175/2019-3")</f>
        <v>5175/2019-3</v>
      </c>
      <c r="D459" s="4">
        <v>45502</v>
      </c>
      <c r="E459" s="16" t="str">
        <f>HYPERLINK("https://www8.mpce.mp.br/Empenhos/150001/Objeto/45-2019.pdf","EMPENHO REF. RENOVAÇÃO DE COBERTURA DE SEGURO CONTRA INCÊNDIO E DANOS ELÉTRICOS DO PRÉDIO ONDE FUNCIONA A SEDE DA PROMOTORIAS CRIMINAIS DE FORTALEZA, POR MAIS 12 (DOZE) MESES, A CONTAR DE 15/07/2024, PARCELA ÚNICA.")</f>
        <v>EMPENHO REF. RENOVAÇÃO DE COBERTURA DE SEGURO CONTRA INCÊNDIO E DANOS ELÉTRICOS DO PRÉDIO ONDE FUNCIONA A SEDE DA PROMOTORIAS CRIMINAIS DE FORTALEZA, POR MAIS 12 (DOZE) MESES, A CONTAR DE 15/07/2024, PARCELA ÚNICA.</v>
      </c>
      <c r="F459" s="2" t="s">
        <v>61</v>
      </c>
      <c r="G459" s="5" t="str">
        <f>HYPERLINK("http://www8.mpce.mp.br/Empenhos/150501/NE/2024NE000780.pdf","2024NE000780")</f>
        <v>2024NE000780</v>
      </c>
      <c r="H459" s="6">
        <v>994.11</v>
      </c>
      <c r="I459" s="7" t="s">
        <v>681</v>
      </c>
      <c r="J459" s="10" t="s">
        <v>856</v>
      </c>
      <c r="K459" t="str">
        <f>HYPERLINK("http://www8.mpce.mp.br/Empenhos/150501/NE/2024NE000435.pdf","2024NE000435")</f>
        <v>2024NE000435</v>
      </c>
      <c r="L459" s="13">
        <v>36000</v>
      </c>
      <c r="M459" t="s">
        <v>240</v>
      </c>
      <c r="N459">
        <v>48444032000102</v>
      </c>
    </row>
    <row r="460" spans="1:14" ht="56.25" x14ac:dyDescent="0.25">
      <c r="A460" s="12" t="s">
        <v>9</v>
      </c>
      <c r="B460" s="2" t="s">
        <v>682</v>
      </c>
      <c r="C460" s="3" t="str">
        <f>HYPERLINK("https://transparencia-area-fim.mpce.mp.br/#/consulta/processo/pastadigital/092023000385590","09.2023.00038559-0")</f>
        <v>09.2023.00038559-0</v>
      </c>
      <c r="D460" s="4">
        <v>45516</v>
      </c>
      <c r="E460" s="16" t="str">
        <f>HYPERLINK("https://www8.mpce.mp.br/Empenhos/150001/Objeto/25-2024.pdf","EMPENHO REF. LICENÇAS DE ACESSO À PLATAFORMA WELLZ E À PLATAFORMA GYMPASS, PARA MEMBROS E SERVIDORES DO MPCE, CONF. CONTRATO 025/2024, REF. JUL E AGO/2024, POR ESTIMATIVA.")</f>
        <v>EMPENHO REF. LICENÇAS DE ACESSO À PLATAFORMA WELLZ E À PLATAFORMA GYMPASS, PARA MEMBROS E SERVIDORES DO MPCE, CONF. CONTRATO 025/2024, REF. JUL E AGO/2024, POR ESTIMATIVA.</v>
      </c>
      <c r="F460" s="2" t="s">
        <v>109</v>
      </c>
      <c r="G460" s="5" t="str">
        <f>HYPERLINK("http://www8.mpce.mp.br/Empenhos/150501/NE/2024NE000792.pdf","2024NE000792")</f>
        <v>2024NE000792</v>
      </c>
      <c r="H460" s="6">
        <v>103000</v>
      </c>
      <c r="I460" s="7" t="s">
        <v>492</v>
      </c>
      <c r="J460" s="10" t="s">
        <v>845</v>
      </c>
      <c r="K460" t="str">
        <f>HYPERLINK("http://www8.mpce.mp.br/Empenhos/150501/NE/2024NE000436.pdf","2024NE000436")</f>
        <v>2024NE000436</v>
      </c>
      <c r="L460" s="13">
        <v>4000</v>
      </c>
      <c r="M460" t="s">
        <v>201</v>
      </c>
      <c r="N460">
        <v>7021062320</v>
      </c>
    </row>
    <row r="461" spans="1:14" ht="51" x14ac:dyDescent="0.25">
      <c r="A461" s="12" t="s">
        <v>34</v>
      </c>
      <c r="B461" s="2" t="s">
        <v>87</v>
      </c>
      <c r="C461" s="3" t="str">
        <f>HYPERLINK("https://transparencia-area-fim.mpce.mp.br/#/consulta/processo/pastadigital/092020000071437","09.2020.00007143-7")</f>
        <v>09.2020.00007143-7</v>
      </c>
      <c r="D461" s="4">
        <v>45387</v>
      </c>
      <c r="E461" s="16" t="str">
        <f>HYPERLINK("https://www8.mpce.mp.br/Empenhos/150001/Objeto/23-2020.pdf","FORNECIMENTO DE PRODUTOS E DE DIVERSOS SERVIÇOS DOS CORREIOS POR MEIO DOS CANAIS DE ATENDIMENTO DISPONIBILIZADOS, CONF. CONTRATO 023/2020, REF. ABR, MAI E JUN/2024, POR ESTIMATIVA.")</f>
        <v>FORNECIMENTO DE PRODUTOS E DE DIVERSOS SERVIÇOS DOS CORREIOS POR MEIO DOS CANAIS DE ATENDIMENTO DISPONIBILIZADOS, CONF. CONTRATO 023/2020, REF. ABR, MAI E JUN/2024, POR ESTIMATIVA.</v>
      </c>
      <c r="F461" s="2" t="s">
        <v>88</v>
      </c>
      <c r="G461" s="5" t="str">
        <f>HYPERLINK("http://www8.mpce.mp.br/Empenhos/150001/NE/2024NE000795.pdf","2024NE000795")</f>
        <v>2024NE000795</v>
      </c>
      <c r="H461" s="6">
        <v>60000</v>
      </c>
      <c r="I461" s="7" t="s">
        <v>89</v>
      </c>
      <c r="J461" s="10" t="s">
        <v>90</v>
      </c>
      <c r="K461" t="str">
        <f>HYPERLINK("http://www8.mpce.mp.br/Empenhos/150501/NE/2024NE000438.pdf","2024NE000438")</f>
        <v>2024NE000438</v>
      </c>
      <c r="L461" s="13">
        <v>268327.5</v>
      </c>
      <c r="M461" t="s">
        <v>244</v>
      </c>
      <c r="N461">
        <v>3773788000167</v>
      </c>
    </row>
    <row r="462" spans="1:14" ht="63.75" x14ac:dyDescent="0.25">
      <c r="A462" s="12" t="s">
        <v>34</v>
      </c>
      <c r="B462" s="2" t="s">
        <v>683</v>
      </c>
      <c r="C462" s="3" t="str">
        <f>HYPERLINK("https://transparencia-area-fim.mpce.mp.br/#/consulta/processo/pastadigital/092021000219739","09.2021.00021973-9")</f>
        <v>09.2021.00021973-9</v>
      </c>
      <c r="D462" s="4">
        <v>45516</v>
      </c>
      <c r="E462" s="16" t="str">
        <f>HYPERLINK("https://www8.mpce.mp.br/Empenhos/150001/Objeto/45-2021.pdf","EMPENHO REF. REAJUSTE RETROATIVO DE TAXAS CONDOMINIAIS DE IMÓVEL SITUADO NO EUSÉBIO-CE, ONDE FUNCIONA SEDE DE PROMOTORIAS DE JUSTIÇA DAQUELA COMARCA, CONF. CONTRATO 045/2021, REF. MAI, JUN E JUL/2024.")</f>
        <v>EMPENHO REF. REAJUSTE RETROATIVO DE TAXAS CONDOMINIAIS DE IMÓVEL SITUADO NO EUSÉBIO-CE, ONDE FUNCIONA SEDE DE PROMOTORIAS DE JUSTIÇA DAQUELA COMARCA, CONF. CONTRATO 045/2021, REF. MAI, JUN E JUL/2024.</v>
      </c>
      <c r="F462" s="2" t="s">
        <v>231</v>
      </c>
      <c r="G462" s="5" t="str">
        <f>HYPERLINK("http://www8.mpce.mp.br/Empenhos/150501/NE/2024NE000797.pdf","2024NE000797")</f>
        <v>2024NE000797</v>
      </c>
      <c r="H462" s="6">
        <v>109.83</v>
      </c>
      <c r="I462" s="7" t="s">
        <v>144</v>
      </c>
      <c r="J462" s="10" t="s">
        <v>145</v>
      </c>
      <c r="K462" t="str">
        <f>HYPERLINK("http://www8.mpce.mp.br/Empenhos/150501/NE/2024NE000440.pdf","2024NE000440")</f>
        <v>2024NE000440</v>
      </c>
      <c r="L462" s="13">
        <v>2613.4</v>
      </c>
      <c r="M462" t="s">
        <v>186</v>
      </c>
      <c r="N462">
        <v>43713017387</v>
      </c>
    </row>
    <row r="463" spans="1:14" ht="63.75" x14ac:dyDescent="0.25">
      <c r="A463" s="12" t="s">
        <v>34</v>
      </c>
      <c r="B463" s="2" t="s">
        <v>684</v>
      </c>
      <c r="C463" s="3" t="str">
        <f>HYPERLINK("https://transparencia-area-fim.mpce.mp.br/#/consulta/processo/pastadigital/092021000079244","09.2021.00007924-4")</f>
        <v>09.2021.00007924-4</v>
      </c>
      <c r="D463" s="4">
        <v>45516</v>
      </c>
      <c r="E463" s="16" t="str">
        <f>HYPERLINK("https://www8.mpce.mp.br/Empenhos/150001/Objeto/27-2021.pdf","EMPENHO REF. REAJUSTE RETROATIVO DE TAXAS CONDOMINIAIS DE IMÓVEL SITUADO NO EUSÉBIO-CE, ONDE FUNCIONA SEDE DE PROMOTORIAS DE JUSTIÇA DAQUELA COMARCA, CONF. CONTRATO 027/2021, REF. MAI, JUN E JUL/2024.")</f>
        <v>EMPENHO REF. REAJUSTE RETROATIVO DE TAXAS CONDOMINIAIS DE IMÓVEL SITUADO NO EUSÉBIO-CE, ONDE FUNCIONA SEDE DE PROMOTORIAS DE JUSTIÇA DAQUELA COMARCA, CONF. CONTRATO 027/2021, REF. MAI, JUN E JUL/2024.</v>
      </c>
      <c r="F463" s="2" t="s">
        <v>231</v>
      </c>
      <c r="G463" s="5" t="str">
        <f>HYPERLINK("http://www8.mpce.mp.br/Empenhos/150501/NE/2024NE000798.pdf","2024NE000798")</f>
        <v>2024NE000798</v>
      </c>
      <c r="H463" s="6">
        <v>353.34</v>
      </c>
      <c r="I463" s="7" t="s">
        <v>144</v>
      </c>
      <c r="J463" s="10" t="s">
        <v>145</v>
      </c>
      <c r="K463" t="str">
        <f>HYPERLINK("http://www8.mpce.mp.br/Empenhos/150501/NE/2024NE000443.pdf","2024NE000443")</f>
        <v>2024NE000443</v>
      </c>
      <c r="L463" s="13">
        <v>32868.519999999997</v>
      </c>
      <c r="M463" t="s">
        <v>132</v>
      </c>
      <c r="N463">
        <v>11710431000168</v>
      </c>
    </row>
    <row r="464" spans="1:14" ht="51" x14ac:dyDescent="0.25">
      <c r="A464" s="12" t="s">
        <v>9</v>
      </c>
      <c r="B464" s="2" t="s">
        <v>685</v>
      </c>
      <c r="C464" s="3" t="str">
        <f>HYPERLINK("https://transparencia-area-fim.mpce.mp.br/#/consulta/processo/pastadigital/092024000173970","09.2024.00017397-0")</f>
        <v>09.2024.00017397-0</v>
      </c>
      <c r="D464" s="4">
        <v>45516</v>
      </c>
      <c r="E464" s="16" t="str">
        <f>HYPERLINK("https://www8.mpce.mp.br/Empenhos/150001/Objeto/44-2024.pdf","EMPENHO REF. ALUGUEL LOCAÇÃO DE IMÓVEL SITUADO EM ACARAÚ-CE, ONDE FUNCIONA SEDE DE PROMOTORIAS DE JUSTIÇA DAQUELA COMARCA, CONF. CONTRATO 044/2024, REF. JUL E AGO/2024, POR ESTIMATIVA.")</f>
        <v>EMPENHO REF. ALUGUEL LOCAÇÃO DE IMÓVEL SITUADO EM ACARAÚ-CE, ONDE FUNCIONA SEDE DE PROMOTORIAS DE JUSTIÇA DAQUELA COMARCA, CONF. CONTRATO 044/2024, REF. JUL E AGO/2024, POR ESTIMATIVA.</v>
      </c>
      <c r="F464" s="2" t="s">
        <v>116</v>
      </c>
      <c r="G464" s="5" t="str">
        <f>HYPERLINK("http://www8.mpce.mp.br/Empenhos/150501/NE/2024NE000799.pdf","2024NE000799")</f>
        <v>2024NE000799</v>
      </c>
      <c r="H464" s="6">
        <v>6807.76</v>
      </c>
      <c r="I464" s="7" t="s">
        <v>686</v>
      </c>
      <c r="J464" s="10" t="s">
        <v>857</v>
      </c>
      <c r="K464" t="str">
        <f>HYPERLINK("http://www8.mpce.mp.br/Empenhos/150501/NE/2024NE000444.pdf","2024NE000444")</f>
        <v>2024NE000444</v>
      </c>
      <c r="L464" s="13">
        <v>5203.1000000000004</v>
      </c>
      <c r="M464" t="s">
        <v>203</v>
      </c>
      <c r="N464">
        <v>5817870304</v>
      </c>
    </row>
    <row r="465" spans="1:14" ht="51" x14ac:dyDescent="0.25">
      <c r="A465" s="12" t="s">
        <v>34</v>
      </c>
      <c r="B465" s="2" t="s">
        <v>668</v>
      </c>
      <c r="C465" s="3" t="str">
        <f>HYPERLINK("http://www8.mpce.mp.br/Dispensa/842220170.pdf","8422/20170")</f>
        <v>8422/20170</v>
      </c>
      <c r="D465" s="4">
        <v>45516</v>
      </c>
      <c r="E465" s="16" t="str">
        <f>HYPERLINK("https://www8.mpce.mp.br/Empenhos/150001/Objeto/16-2017.pdf","EMPENHO REF. REEMBOLSO DE TAXA DE LIXO-TMRSU DE IMÓVEL ONDE FUNCIONA SEDE DE PROMOTORIAS DE JUSTIÇA CRIMINAL DE FORTALEZA, CONF. CONTRATO 016/2017, REF. 2024 - 7ª PARCELA.")</f>
        <v>EMPENHO REF. REEMBOLSO DE TAXA DE LIXO-TMRSU DE IMÓVEL ONDE FUNCIONA SEDE DE PROMOTORIAS DE JUSTIÇA CRIMINAL DE FORTALEZA, CONF. CONTRATO 016/2017, REF. 2024 - 7ª PARCELA.</v>
      </c>
      <c r="F465" s="2" t="s">
        <v>252</v>
      </c>
      <c r="G465" s="5" t="str">
        <f>HYPERLINK("http://www8.mpce.mp.br/Empenhos/150501/NE/2024NE000800.pdf","2024NE000800")</f>
        <v>2024NE000800</v>
      </c>
      <c r="H465" s="6">
        <v>152.32</v>
      </c>
      <c r="I465" s="7" t="s">
        <v>158</v>
      </c>
      <c r="J465" s="10" t="s">
        <v>159</v>
      </c>
      <c r="K465" t="str">
        <f>HYPERLINK("http://www8.mpce.mp.br/Empenhos/150501/NE/2024NE000445.pdf","2024NE000445")</f>
        <v>2024NE000445</v>
      </c>
      <c r="L465" s="13">
        <v>26400</v>
      </c>
      <c r="M465" t="s">
        <v>238</v>
      </c>
      <c r="N465">
        <v>44231385000173</v>
      </c>
    </row>
    <row r="466" spans="1:14" ht="51" x14ac:dyDescent="0.25">
      <c r="A466" s="12" t="s">
        <v>34</v>
      </c>
      <c r="B466" s="2" t="s">
        <v>668</v>
      </c>
      <c r="C466" s="3" t="str">
        <f>HYPERLINK("http://www8.mpce.mp.br/Dispensa/842220170.pdf","8422/20170")</f>
        <v>8422/20170</v>
      </c>
      <c r="D466" s="4">
        <v>45516</v>
      </c>
      <c r="E466" s="16" t="str">
        <f>HYPERLINK("https://www8.mpce.mp.br/Empenhos/150001/Objeto/16-2017.pdf","EMPENHO REF. REEMBOLSO DE TAXA DE LIXO-TMRSU DE IMÓVEL ONDE FUNCIONA SEDE DE PROMOTORIAS DE JUSTIÇA CRIMINAL DE FORTALEZA, CONF. CONTRATO 016/2017, REF. 2024 - 8ª PARCELA.")</f>
        <v>EMPENHO REF. REEMBOLSO DE TAXA DE LIXO-TMRSU DE IMÓVEL ONDE FUNCIONA SEDE DE PROMOTORIAS DE JUSTIÇA CRIMINAL DE FORTALEZA, CONF. CONTRATO 016/2017, REF. 2024 - 8ª PARCELA.</v>
      </c>
      <c r="F466" s="2" t="s">
        <v>252</v>
      </c>
      <c r="G466" s="5" t="str">
        <f>HYPERLINK("http://www8.mpce.mp.br/Empenhos/150501/NE/2024NE000801.pdf","2024NE000801")</f>
        <v>2024NE000801</v>
      </c>
      <c r="H466" s="6">
        <v>152.32</v>
      </c>
      <c r="I466" s="7" t="s">
        <v>158</v>
      </c>
      <c r="J466" s="10" t="s">
        <v>159</v>
      </c>
      <c r="K466" t="str">
        <f>HYPERLINK("http://www8.mpce.mp.br/Empenhos/150501/NE/2024NE000448.pdf","2024NE000448")</f>
        <v>2024NE000448</v>
      </c>
      <c r="L466" s="13">
        <v>54000</v>
      </c>
      <c r="M466" t="s">
        <v>146</v>
      </c>
      <c r="N466">
        <v>41456187000110</v>
      </c>
    </row>
    <row r="467" spans="1:14" ht="51" x14ac:dyDescent="0.25">
      <c r="A467" s="12" t="s">
        <v>34</v>
      </c>
      <c r="B467" s="2" t="s">
        <v>613</v>
      </c>
      <c r="C467" s="3" t="str">
        <f>HYPERLINK("http://www8.mpce.mp.br/Dispensa/842220170.pdf","8422/20170")</f>
        <v>8422/20170</v>
      </c>
      <c r="D467" s="4">
        <v>45516</v>
      </c>
      <c r="E467" s="16" t="str">
        <f>HYPERLINK("https://www8.mpce.mp.br/Empenhos/150001/Objeto/16-2017.pdf","EMPENHO REF. REEMBOLSO DE IPTU DE IMÓVEL ONDE FUNCIONA SEDE DE PROMOTORIAS DE JUSTIÇA CRIMINAL DE FORTALEZA, CONF. CONTRATO 016/2017, REF. 2024 - 7ª PARCELA.")</f>
        <v>EMPENHO REF. REEMBOLSO DE IPTU DE IMÓVEL ONDE FUNCIONA SEDE DE PROMOTORIAS DE JUSTIÇA CRIMINAL DE FORTALEZA, CONF. CONTRATO 016/2017, REF. 2024 - 7ª PARCELA.</v>
      </c>
      <c r="F467" s="2" t="s">
        <v>252</v>
      </c>
      <c r="G467" s="5" t="str">
        <f>HYPERLINK("http://www8.mpce.mp.br/Empenhos/150501/NE/2024NE000802.pdf","2024NE000802")</f>
        <v>2024NE000802</v>
      </c>
      <c r="H467" s="6">
        <v>2619.0100000000002</v>
      </c>
      <c r="I467" s="7" t="s">
        <v>158</v>
      </c>
      <c r="J467" s="10" t="s">
        <v>159</v>
      </c>
      <c r="K467" t="str">
        <f>HYPERLINK("http://www8.mpce.mp.br/Empenhos/150501/NE/2024NE000449.pdf","2024NE000449")</f>
        <v>2024NE000449</v>
      </c>
      <c r="L467" s="13">
        <v>3100</v>
      </c>
      <c r="M467" t="s">
        <v>184</v>
      </c>
      <c r="N467">
        <v>84738480391</v>
      </c>
    </row>
    <row r="468" spans="1:14" ht="51" x14ac:dyDescent="0.25">
      <c r="A468" s="12" t="s">
        <v>34</v>
      </c>
      <c r="B468" s="2" t="s">
        <v>546</v>
      </c>
      <c r="C468" s="3" t="str">
        <f>HYPERLINK("http://www8.mpce.mp.br/Dispensa/146020136.pdf","1460/2013-6")</f>
        <v>1460/2013-6</v>
      </c>
      <c r="D468" s="4">
        <v>45516</v>
      </c>
      <c r="E468" s="16" t="str">
        <f>HYPERLINK("https://www8.mpce.mp.br/Empenhos/150001/Objeto/39-2013.pdf","EMPENHO REF. REEMBOLSO DE IPTU DE IMÓVEL SITUADO EM CASCAVEL-CE, ONDE FUNCIONA SEDE DE PROMOTORIAS DE JUSTIÇA DAQUELA COMARCA, CONF. CONTRATO 039/2013, REF. 2024 PARCELA ÚNICA.")</f>
        <v>EMPENHO REF. REEMBOLSO DE IPTU DE IMÓVEL SITUADO EM CASCAVEL-CE, ONDE FUNCIONA SEDE DE PROMOTORIAS DE JUSTIÇA DAQUELA COMARCA, CONF. CONTRATO 039/2013, REF. 2024 PARCELA ÚNICA.</v>
      </c>
      <c r="F468" s="2" t="s">
        <v>223</v>
      </c>
      <c r="G468" s="5" t="str">
        <f>HYPERLINK("http://www8.mpce.mp.br/Empenhos/150501/NE/2024NE000803.pdf","2024NE000803")</f>
        <v>2024NE000803</v>
      </c>
      <c r="H468" s="6">
        <v>635.9</v>
      </c>
      <c r="I468" s="7" t="s">
        <v>232</v>
      </c>
      <c r="J468" s="10" t="s">
        <v>233</v>
      </c>
      <c r="K468" t="str">
        <f>HYPERLINK("http://www8.mpce.mp.br/Empenhos/150501/NE/2024NE000450.pdf","2024NE000450")</f>
        <v>2024NE000450</v>
      </c>
      <c r="L468" s="13">
        <v>4000</v>
      </c>
      <c r="M468" t="s">
        <v>229</v>
      </c>
      <c r="N468">
        <v>78214130387</v>
      </c>
    </row>
    <row r="469" spans="1:14" ht="67.5" x14ac:dyDescent="0.25">
      <c r="A469" s="12" t="s">
        <v>9</v>
      </c>
      <c r="B469" s="2" t="s">
        <v>687</v>
      </c>
      <c r="C469" s="3" t="str">
        <f>HYPERLINK("https://transparencia-area-fim.mpce.mp.br/#/consulta/processo/pastadigital/092024000162330","09.2024.00016233-0")</f>
        <v>09.2024.00016233-0</v>
      </c>
      <c r="D469" s="4">
        <v>45516</v>
      </c>
      <c r="E469" s="16" t="str">
        <f>HYPERLINK("https://www8.mpce.mp.br/Empenhos/150001/Objeto/45-2024.pdf","EMPENHO GLOBAL REF. SOLUÇÃO ON-LINE PARA CAPTURA TÉCNICA DE CONTEÚDOS DA INTERNET, CONF. CONTRATO 045/2024.")</f>
        <v>EMPENHO GLOBAL REF. SOLUÇÃO ON-LINE PARA CAPTURA TÉCNICA DE CONTEÚDOS DA INTERNET, CONF. CONTRATO 045/2024.</v>
      </c>
      <c r="F469" s="2" t="s">
        <v>71</v>
      </c>
      <c r="G469" s="5" t="str">
        <f>HYPERLINK("http://www8.mpce.mp.br/Empenhos/150501/NE/2024NE000804.pdf","2024NE000804")</f>
        <v>2024NE000804</v>
      </c>
      <c r="H469" s="6">
        <v>9700</v>
      </c>
      <c r="I469" s="7" t="s">
        <v>688</v>
      </c>
      <c r="J469" s="10" t="s">
        <v>858</v>
      </c>
      <c r="K469" t="str">
        <f>HYPERLINK("http://www8.mpce.mp.br/Empenhos/150501/NE/2024NE000451.pdf","2024NE000451")</f>
        <v>2024NE000451</v>
      </c>
      <c r="L469" s="13">
        <v>10800</v>
      </c>
      <c r="M469" t="s">
        <v>156</v>
      </c>
      <c r="N469">
        <v>33457311000133</v>
      </c>
    </row>
    <row r="470" spans="1:14" ht="51" x14ac:dyDescent="0.25">
      <c r="A470" s="12" t="s">
        <v>34</v>
      </c>
      <c r="B470" s="2" t="s">
        <v>548</v>
      </c>
      <c r="C470" s="3" t="str">
        <f>HYPERLINK("http://www8.mpce.mp.br/Dispensa/2887720171.pdf","28877/2017-1")</f>
        <v>28877/2017-1</v>
      </c>
      <c r="D470" s="4">
        <v>45516</v>
      </c>
      <c r="E470" s="16" t="str">
        <f>HYPERLINK("https://www8.mpce.mp.br/Empenhos/150001/Objeto/24-2019.pdf","EMPENHO REF. REEMBOLSO DE IPTU DE IMÓVEL SITUADO EM JAGUARIBE-CE, ONDE FUNCIONA SEDE DE PROMOTORIAS DE JUSTIÇA DAQUELA COMARCA, CONF. CONTRATO 024/2019, REF. 2024 PARCELA ÚNICA.")</f>
        <v>EMPENHO REF. REEMBOLSO DE IPTU DE IMÓVEL SITUADO EM JAGUARIBE-CE, ONDE FUNCIONA SEDE DE PROMOTORIAS DE JUSTIÇA DAQUELA COMARCA, CONF. CONTRATO 024/2019, REF. 2024 PARCELA ÚNICA.</v>
      </c>
      <c r="F470" s="2" t="s">
        <v>252</v>
      </c>
      <c r="G470" s="5" t="str">
        <f>HYPERLINK("http://www8.mpce.mp.br/Empenhos/150501/NE/2024NE000805.pdf","2024NE000805")</f>
        <v>2024NE000805</v>
      </c>
      <c r="H470" s="6">
        <v>159.05000000000001</v>
      </c>
      <c r="I470" s="7" t="s">
        <v>140</v>
      </c>
      <c r="J470" s="10" t="s">
        <v>141</v>
      </c>
      <c r="K470" t="str">
        <f>HYPERLINK("http://www8.mpce.mp.br/Empenhos/150501/NE/2024NE000452.pdf","2024NE000452")</f>
        <v>2024NE000452</v>
      </c>
      <c r="L470" s="13">
        <v>10800</v>
      </c>
      <c r="M470" t="s">
        <v>156</v>
      </c>
      <c r="N470">
        <v>33457311000133</v>
      </c>
    </row>
    <row r="471" spans="1:14" ht="38.25" x14ac:dyDescent="0.25">
      <c r="A471" s="12" t="s">
        <v>34</v>
      </c>
      <c r="B471" s="2" t="s">
        <v>768</v>
      </c>
      <c r="C471" s="3" t="str">
        <f>HYPERLINK("http://www8.mpce.mp.br/Dispensa/842220170.pdf","8422/20170")</f>
        <v>8422/20170</v>
      </c>
      <c r="D471" s="4">
        <v>45524</v>
      </c>
      <c r="E471" s="16" t="str">
        <f>HYPERLINK("https://www8.mpce.mp.br/Empenhos/150001/Objeto/16-2017.pdf","EMPENHO REF. ALUGUEL DE IMÓVEL ONDE FUNCIONAM PROMOTORIAS DA COMARCA DE FORTALEZA, CONF. CONTRATO 016/2017, REF. AGO/2024, POR ESTIMATIVA.")</f>
        <v>EMPENHO REF. ALUGUEL DE IMÓVEL ONDE FUNCIONAM PROMOTORIAS DA COMARCA DE FORTALEZA, CONF. CONTRATO 016/2017, REF. AGO/2024, POR ESTIMATIVA.</v>
      </c>
      <c r="F471" s="2" t="s">
        <v>116</v>
      </c>
      <c r="G471" s="5" t="str">
        <f>HYPERLINK("http://www8.mpce.mp.br/Empenhos/150501/NE/2024NE000838.pdf","2024NE000838")</f>
        <v>2024NE000838</v>
      </c>
      <c r="H471" s="6">
        <v>58910.97</v>
      </c>
      <c r="I471" s="7" t="s">
        <v>158</v>
      </c>
      <c r="J471" s="10" t="s">
        <v>159</v>
      </c>
      <c r="K471" t="str">
        <f>HYPERLINK("http://www8.mpce.mp.br/Empenhos/150501/NE/2024NE000454.pdf","2024NE000454")</f>
        <v>2024NE000454</v>
      </c>
      <c r="L471" s="13">
        <v>37800</v>
      </c>
      <c r="M471" t="s">
        <v>129</v>
      </c>
      <c r="N471">
        <v>32697604000125</v>
      </c>
    </row>
    <row r="472" spans="1:14" ht="63.75" x14ac:dyDescent="0.25">
      <c r="A472" s="12" t="s">
        <v>34</v>
      </c>
      <c r="B472" s="2" t="s">
        <v>444</v>
      </c>
      <c r="C472" s="3" t="str">
        <f>HYPERLINK("https://transparencia-area-fim.mpce.mp.br/#/consulta/processo/pastadigital/092024000111207","09.2024.00011120-7")</f>
        <v>09.2024.00011120-7</v>
      </c>
      <c r="D472" s="4">
        <v>45393</v>
      </c>
      <c r="E472" s="16" t="s">
        <v>445</v>
      </c>
      <c r="F472" s="2" t="s">
        <v>446</v>
      </c>
      <c r="G472" s="5" t="str">
        <f>HYPERLINK("http://www8.mpce.mp.br/Empenhos/150001/NE/2024NE000856.pdf","2024NE000856")</f>
        <v>2024NE000856</v>
      </c>
      <c r="H472" s="6">
        <v>2250</v>
      </c>
      <c r="I472" s="7" t="s">
        <v>447</v>
      </c>
      <c r="J472" s="10" t="s">
        <v>859</v>
      </c>
      <c r="K472" t="str">
        <f>HYPERLINK("http://www8.mpce.mp.br/Empenhos/150501/NE/2024NE000455.pdf","2024NE000455")</f>
        <v>2024NE000455</v>
      </c>
      <c r="L472" s="13">
        <v>5000</v>
      </c>
      <c r="M472" t="s">
        <v>195</v>
      </c>
      <c r="N472">
        <v>7136315387</v>
      </c>
    </row>
    <row r="473" spans="1:14" ht="63.75" x14ac:dyDescent="0.25">
      <c r="A473" s="12" t="s">
        <v>34</v>
      </c>
      <c r="B473" s="2" t="s">
        <v>678</v>
      </c>
      <c r="C473" s="3" t="str">
        <f>HYPERLINK("https://transparencia-area-fim.mpce.mp.br/#/consulta/processo/pastadigital/092021000349974","09.2021.00034997-4")</f>
        <v>09.2021.00034997-4</v>
      </c>
      <c r="D473" s="4">
        <v>45567</v>
      </c>
      <c r="E473" s="16" t="str">
        <f>HYPERLINK("https://www8.mpce.mp.br/Empenhos/150001/Objeto/01-2022.pdf","EMPENHO REF. SUPORTE TÉCNICO PARA DESENVOLVIMENTO E IMPLEMENTAÇÃO DE CAMADA DE INTEROPERABILIDADE, INCLUINDO SERVIÇOS DE INTEGRAÇÃO DE SISTEMAS, CONF. CONTRATO 001/2022 ITEM 03, REF. OUT/2024, POR ESTIMATIVA.")</f>
        <v>EMPENHO REF. SUPORTE TÉCNICO PARA DESENVOLVIMENTO E IMPLEMENTAÇÃO DE CAMADA DE INTEROPERABILIDADE, INCLUINDO SERVIÇOS DE INTEGRAÇÃO DE SISTEMAS, CONF. CONTRATO 001/2022 ITEM 03, REF. OUT/2024, POR ESTIMATIVA.</v>
      </c>
      <c r="F473" s="2" t="s">
        <v>679</v>
      </c>
      <c r="G473" s="5" t="str">
        <f>HYPERLINK("http://www8.mpce.mp.br/Empenhos/150501/NE/2024NE000875.pdf","2024NE000875")</f>
        <v>2024NE000875</v>
      </c>
      <c r="H473" s="6">
        <v>36672</v>
      </c>
      <c r="I473" s="7" t="s">
        <v>244</v>
      </c>
      <c r="J473" s="10" t="s">
        <v>245</v>
      </c>
      <c r="K473" t="str">
        <f>HYPERLINK("http://www8.mpce.mp.br/Empenhos/150501/NE/2024NE000456.pdf","2024NE000456")</f>
        <v>2024NE000456</v>
      </c>
      <c r="L473" s="13">
        <v>36930</v>
      </c>
      <c r="M473" t="s">
        <v>171</v>
      </c>
      <c r="N473">
        <v>7936046000166</v>
      </c>
    </row>
    <row r="474" spans="1:14" ht="90" x14ac:dyDescent="0.25">
      <c r="A474" s="12" t="s">
        <v>9</v>
      </c>
      <c r="B474" s="2" t="s">
        <v>769</v>
      </c>
      <c r="C474" s="3" t="str">
        <f>HYPERLINK("http://www8.mpce.mp.br/Inexigibilidade/1045920194.pdf","10459/2019-4")</f>
        <v>10459/2019-4</v>
      </c>
      <c r="D474" s="4">
        <v>45527</v>
      </c>
      <c r="E474" s="17" t="str">
        <f>HYPERLINK("https://www8.mpce.mp.br/Empenhos/150001/Objeto/47-2019.pdf","EMPENHO REF. ESTUDO DE IMPACTO URBANÍSTICO - AMBIENTAL (SERVIÇOS TÉCNICO PROFISSIONAIS) EM DECORRÊNCIA DAS OUTORGAS ONEROSAS EM VIAS DE DEFERIMENTO"&amp;" E/OU EFETIVAMENTE PELO MUNICÍPIO DE FORTALEZA, CONF. CONTRATO 047/2019 E ORDEM DE SERVIÇO 004/2024/NATEC, REF. JUN E JUL/2024.")</f>
        <v>EMPENHO REF. ESTUDO DE IMPACTO URBANÍSTICO - AMBIENTAL (SERVIÇOS TÉCNICO PROFISSIONAIS) EM DECORRÊNCIA DAS OUTORGAS ONEROSAS EM VIAS DE DEFERIMENTO E/OU EFETIVAMENTE PELO MUNICÍPIO DE FORTALEZA, CONF. CONTRATO 047/2019 E ORDEM DE SERVIÇO 004/2024/NATEC, REF. JUN E JUL/2024.</v>
      </c>
      <c r="F474" s="2" t="s">
        <v>81</v>
      </c>
      <c r="G474" s="5" t="str">
        <f>HYPERLINK("http://www8.mpce.mp.br/Empenhos/150501/NE/2024NE000877.pdf","2024NE000877")</f>
        <v>2024NE000877</v>
      </c>
      <c r="H474" s="6">
        <v>162760</v>
      </c>
      <c r="I474" s="7" t="s">
        <v>254</v>
      </c>
      <c r="J474" s="10" t="s">
        <v>829</v>
      </c>
      <c r="K474" t="str">
        <f>HYPERLINK("http://www8.mpce.mp.br/Empenhos/150501/NE/2024NE000457.pdf","2024NE000457")</f>
        <v>2024NE000457</v>
      </c>
      <c r="L474" s="13">
        <v>41800</v>
      </c>
      <c r="M474" t="s">
        <v>129</v>
      </c>
      <c r="N474">
        <v>32697604000125</v>
      </c>
    </row>
    <row r="475" spans="1:14" ht="38.25" x14ac:dyDescent="0.25">
      <c r="A475" s="12" t="s">
        <v>34</v>
      </c>
      <c r="B475" s="2" t="s">
        <v>770</v>
      </c>
      <c r="C475" s="3" t="str">
        <f>HYPERLINK("https://transparencia-area-fim.mpce.mp.br/#/consulta/processo/pastadigital/092024000176845","09.2024.00017684-5")</f>
        <v>09.2024.00017684-5</v>
      </c>
      <c r="D475" s="4">
        <v>45531</v>
      </c>
      <c r="E475" s="16" t="str">
        <f>HYPERLINK("https://www8.mpce.mp.br/Empenhos/150001/Objeto/58-2024.pdf","SERVIÇOS ESPECIALIZADOS EM SEGURANÇA (ANTIVIRUS), RELATIVO AO MÊS DE AGOSTO, CONF. CONTRATO Nº 058/2024.")</f>
        <v>SERVIÇOS ESPECIALIZADOS EM SEGURANÇA (ANTIVIRUS), RELATIVO AO MÊS DE AGOSTO, CONF. CONTRATO Nº 058/2024.</v>
      </c>
      <c r="F475" s="2" t="s">
        <v>516</v>
      </c>
      <c r="G475" s="5" t="str">
        <f>HYPERLINK("http://www8.mpce.mp.br/Empenhos/150501/NE/2024NE000893.pdf","2024NE000893")</f>
        <v>2024NE000893</v>
      </c>
      <c r="H475" s="6">
        <v>122950.65</v>
      </c>
      <c r="I475" s="7" t="s">
        <v>244</v>
      </c>
      <c r="J475" s="10" t="s">
        <v>245</v>
      </c>
      <c r="K475" t="str">
        <f>HYPERLINK("http://www8.mpce.mp.br/Empenhos/150501/NE/2024NE000458.pdf","2024NE000458")</f>
        <v>2024NE000458</v>
      </c>
      <c r="L475" s="13">
        <v>16300.56</v>
      </c>
      <c r="M475" t="s">
        <v>177</v>
      </c>
      <c r="N475">
        <v>2144832315</v>
      </c>
    </row>
    <row r="476" spans="1:14" ht="76.5" x14ac:dyDescent="0.25">
      <c r="A476" s="12" t="s">
        <v>34</v>
      </c>
      <c r="B476" s="2" t="s">
        <v>539</v>
      </c>
      <c r="C476" s="3" t="str">
        <f>HYPERLINK("http://www8.mpce.mp.br/Dispensa/842220170.pdf","8422/20170")</f>
        <v>8422/20170</v>
      </c>
      <c r="D476" s="4">
        <v>45531</v>
      </c>
      <c r="E476" s="16" t="str">
        <f>HYPERLINK("https://www8.mpce.mp.br/Empenhos/150001/Objeto/16-2017.pdf","EMPENHO DA 8ª PARCELA DO IPTU DE 2024, REF. AO IMÓVEL ONDE FUNCIONAM AS PROMOTORIAS DE JUSTIÇA CRIMINAIS, LOCALIZADO NA AVENIDA CORONEL JOSÉ PHILOMENO, N° 222, BAIRRO ENGENHEIRO LUCIANO CAVALCANTE, FORTALEZA-CE, CONF. CONTRATO Nº 016/2017.")</f>
        <v>EMPENHO DA 8ª PARCELA DO IPTU DE 2024, REF. AO IMÓVEL ONDE FUNCIONAM AS PROMOTORIAS DE JUSTIÇA CRIMINAIS, LOCALIZADO NA AVENIDA CORONEL JOSÉ PHILOMENO, N° 222, BAIRRO ENGENHEIRO LUCIANO CAVALCANTE, FORTALEZA-CE, CONF. CONTRATO Nº 016/2017.</v>
      </c>
      <c r="F476" s="2" t="s">
        <v>252</v>
      </c>
      <c r="G476" s="5" t="str">
        <f>HYPERLINK("http://www8.mpce.mp.br/Empenhos/150501/NE/2024NE000895.pdf","2024NE000895")</f>
        <v>2024NE000895</v>
      </c>
      <c r="H476" s="6">
        <v>2619.0100000000002</v>
      </c>
      <c r="I476" s="7" t="s">
        <v>158</v>
      </c>
      <c r="J476" s="10" t="s">
        <v>159</v>
      </c>
      <c r="K476" t="str">
        <f>HYPERLINK("http://www8.mpce.mp.br/Empenhos/150501/NE/2024NE000459.pdf","2024NE000459")</f>
        <v>2024NE000459</v>
      </c>
      <c r="L476" s="13">
        <v>28360</v>
      </c>
      <c r="M476" t="s">
        <v>129</v>
      </c>
      <c r="N476">
        <v>32697604000125</v>
      </c>
    </row>
    <row r="477" spans="1:14" ht="51" x14ac:dyDescent="0.25">
      <c r="A477" s="12" t="s">
        <v>9</v>
      </c>
      <c r="B477" s="2" t="s">
        <v>771</v>
      </c>
      <c r="C477" s="3" t="str">
        <f>HYPERLINK("http://www8.mpce.mp.br/Inexigibilidade/1045920194.pdf","10459/2019-4")</f>
        <v>10459/2019-4</v>
      </c>
      <c r="D477" s="4">
        <v>45532</v>
      </c>
      <c r="E477" s="16" t="str">
        <f>HYPERLINK("https://www8.mpce.mp.br/Empenhos/150001/Objeto/47-2019.pdf","AFERIÇÃO DOS SISTEMAS DE FRENAGEM DE VEÍCULOS LEVE SOBRE TRILHOS PARA FAZER FRENTE AS DEMANDAS DO DECON E NATEC, CONFORME CONTRATO N. 47/2019 CELEBRADO ENTRE A PGJ E A FUNDAÇÃO ASTEF.")</f>
        <v>AFERIÇÃO DOS SISTEMAS DE FRENAGEM DE VEÍCULOS LEVE SOBRE TRILHOS PARA FAZER FRENTE AS DEMANDAS DO DECON E NATEC, CONFORME CONTRATO N. 47/2019 CELEBRADO ENTRE A PGJ E A FUNDAÇÃO ASTEF.</v>
      </c>
      <c r="F477" s="2" t="s">
        <v>81</v>
      </c>
      <c r="G477" s="5" t="str">
        <f>HYPERLINK("http://www8.mpce.mp.br/Empenhos/150501/NE/2024NE000899.pdf","2024NE000899")</f>
        <v>2024NE000899</v>
      </c>
      <c r="H477" s="6">
        <v>35472</v>
      </c>
      <c r="I477" s="7" t="s">
        <v>254</v>
      </c>
      <c r="J477" s="10" t="s">
        <v>829</v>
      </c>
      <c r="K477" t="str">
        <f>HYPERLINK("http://www8.mpce.mp.br/Empenhos/150501/NE/2024NE000460.pdf","2024NE000460")</f>
        <v>2024NE000460</v>
      </c>
      <c r="L477" s="13">
        <v>1360.06</v>
      </c>
      <c r="M477" t="s">
        <v>219</v>
      </c>
      <c r="N477">
        <v>20941439372</v>
      </c>
    </row>
    <row r="478" spans="1:14" ht="51" x14ac:dyDescent="0.25">
      <c r="A478" s="12" t="s">
        <v>34</v>
      </c>
      <c r="B478" s="2" t="s">
        <v>772</v>
      </c>
      <c r="C478" s="3" t="str">
        <f>HYPERLINK("http://www8.mpce.mp.br/Dispensa/1984020196.pdf","19840/2019-6")</f>
        <v>19840/2019-6</v>
      </c>
      <c r="D478" s="4">
        <v>45533</v>
      </c>
      <c r="E478" s="16" t="str">
        <f>HYPERLINK("https://www8.mpce.mp.br/Empenhos/150001/Objeto/48-2019.pdf","EMPENHO REF. RETROATIVO DO ALUGUEL DE IMÓVEL ONDE FUNCIONAM PROMOTORIAS DE JUSTIÇA DA COMARCA DE CAUCAIA, CONF. CONTRATO 048/2019, JUL (03 DIAS PROPORCIONAIS) E AGO/2024.")</f>
        <v>EMPENHO REF. RETROATIVO DO ALUGUEL DE IMÓVEL ONDE FUNCIONAM PROMOTORIAS DE JUSTIÇA DA COMARCA DE CAUCAIA, CONF. CONTRATO 048/2019, JUL (03 DIAS PROPORCIONAIS) E AGO/2024.</v>
      </c>
      <c r="F478" s="2" t="s">
        <v>116</v>
      </c>
      <c r="G478" s="5" t="str">
        <f>HYPERLINK("http://www8.mpce.mp.br/Empenhos/150501/NE/2024NE000911.pdf","2024NE000911")</f>
        <v>2024NE000911</v>
      </c>
      <c r="H478" s="6">
        <v>1914.39</v>
      </c>
      <c r="I478" s="7" t="s">
        <v>151</v>
      </c>
      <c r="J478" s="10" t="s">
        <v>152</v>
      </c>
      <c r="K478" t="str">
        <f>HYPERLINK("http://www8.mpce.mp.br/Empenhos/150501/NE/2024NE000462.pdf","2024NE000462")</f>
        <v>2024NE000462</v>
      </c>
      <c r="L478" s="13">
        <v>5911.33</v>
      </c>
      <c r="M478" t="s">
        <v>132</v>
      </c>
      <c r="N478">
        <v>11710431000168</v>
      </c>
    </row>
    <row r="479" spans="1:14" ht="63.75" x14ac:dyDescent="0.25">
      <c r="A479" s="12" t="s">
        <v>9</v>
      </c>
      <c r="B479" s="2" t="s">
        <v>458</v>
      </c>
      <c r="C479" s="3" t="str">
        <f>HYPERLINK("https://transparencia-area-fim.mpce.mp.br/#/consulta/processo/pastadigital/092024000103284","09.2024.00010328-4")</f>
        <v>09.2024.00010328-4</v>
      </c>
      <c r="D479" s="4">
        <v>45406</v>
      </c>
      <c r="E479" s="16" t="s">
        <v>459</v>
      </c>
      <c r="F479" s="2" t="s">
        <v>373</v>
      </c>
      <c r="G479" s="5" t="str">
        <f>HYPERLINK("http://www8.mpce.mp.br/Empenhos/150001/NE/2024NE000942.pdf","2024NE000942")</f>
        <v>2024NE000942</v>
      </c>
      <c r="H479" s="6">
        <v>33000</v>
      </c>
      <c r="I479" s="7" t="s">
        <v>374</v>
      </c>
      <c r="J479" s="10" t="s">
        <v>838</v>
      </c>
      <c r="K479" t="str">
        <f>HYPERLINK("http://www8.mpce.mp.br/Empenhos/150501/NE/2024NE000469.pdf","2024NE000469")</f>
        <v>2024NE000469</v>
      </c>
      <c r="L479" s="13">
        <v>11036.3</v>
      </c>
      <c r="M479" t="s">
        <v>205</v>
      </c>
      <c r="N479">
        <v>34123367852</v>
      </c>
    </row>
    <row r="480" spans="1:14" ht="67.5" x14ac:dyDescent="0.25">
      <c r="A480" s="12" t="s">
        <v>34</v>
      </c>
      <c r="B480" s="2" t="s">
        <v>460</v>
      </c>
      <c r="C480" s="3" t="str">
        <f>HYPERLINK("https://transparencia-area-fim.mpce.mp.br/#/consulta/processo/pastadigital/092023000241238","09.2023.00024123-8")</f>
        <v>09.2023.00024123-8</v>
      </c>
      <c r="D480" s="4">
        <v>45406</v>
      </c>
      <c r="E480" s="16" t="str">
        <f>HYPERLINK("https://www8.mpce.mp.br/Empenhos/150001/Objeto/29-2024.pdf","EMPENHO GLOBAL REF. SERVIÇOS DE TECNOLOGIA ASSISTIVA VOLTADOS A PESSOAS COM DEFICIÊNCIA VISUAL, PARA ATENDER AS DEMANDAS DO MPCE, CONF. CONTRATO 029/2024, REF. ABR A AGO/2024.")</f>
        <v>EMPENHO GLOBAL REF. SERVIÇOS DE TECNOLOGIA ASSISTIVA VOLTADOS A PESSOAS COM DEFICIÊNCIA VISUAL, PARA ATENDER AS DEMANDAS DO MPCE, CONF. CONTRATO 029/2024, REF. ABR A AGO/2024.</v>
      </c>
      <c r="F480" s="2" t="s">
        <v>81</v>
      </c>
      <c r="G480" s="5" t="str">
        <f>HYPERLINK("http://www8.mpce.mp.br/Empenhos/150001/NE/2024NE000947.pdf","2024NE000947")</f>
        <v>2024NE000947</v>
      </c>
      <c r="H480" s="6">
        <v>8270</v>
      </c>
      <c r="I480" s="7" t="s">
        <v>461</v>
      </c>
      <c r="J480" s="10" t="s">
        <v>860</v>
      </c>
      <c r="K480" t="str">
        <f>HYPERLINK("http://www8.mpce.mp.br/Empenhos/150501/NE/2024NE000470.pdf","2024NE000470")</f>
        <v>2024NE000470</v>
      </c>
      <c r="L480" s="13">
        <v>161000</v>
      </c>
      <c r="M480" t="s">
        <v>492</v>
      </c>
      <c r="N480">
        <v>15664649000184</v>
      </c>
    </row>
    <row r="481" spans="1:14" ht="38.25" x14ac:dyDescent="0.25">
      <c r="A481" s="12" t="s">
        <v>34</v>
      </c>
      <c r="B481" s="2" t="s">
        <v>773</v>
      </c>
      <c r="C481" s="3" t="str">
        <f>HYPERLINK("https://transparencia-area-fim.mpce.mp.br/#/consulta/processo/pastadigital/092021000157125","09.2021.00015712-5")</f>
        <v>09.2021.00015712-5</v>
      </c>
      <c r="D481" s="4">
        <v>45545</v>
      </c>
      <c r="E481" s="16" t="str">
        <f>HYPERLINK("https://www8.mpce.mp.br/Empenhos/150001/Objeto/32-2021.pdf","SEGURO DE VIDA, NO TOTAL DE 1.441 (MIL, QUATROCENTOS E QUARENTA E UM) ESTAGIÁRIOS, REF. AOS MESES DE JULHO E AGOSTO DE 2024, CONF. CONTRATO 032/2021.")</f>
        <v>SEGURO DE VIDA, NO TOTAL DE 1.441 (MIL, QUATROCENTOS E QUARENTA E UM) ESTAGIÁRIOS, REF. AOS MESES DE JULHO E AGOSTO DE 2024, CONF. CONTRATO 032/2021.</v>
      </c>
      <c r="F481" s="2" t="s">
        <v>61</v>
      </c>
      <c r="G481" s="5" t="str">
        <f>HYPERLINK("http://www8.mpce.mp.br/Empenhos/150501/NE/2024NE000956.pdf","2024NE000956")</f>
        <v>2024NE000956</v>
      </c>
      <c r="H481" s="6">
        <v>273.79000000000002</v>
      </c>
      <c r="I481" s="7" t="s">
        <v>38</v>
      </c>
      <c r="J481" s="10" t="s">
        <v>39</v>
      </c>
      <c r="K481" t="str">
        <f>HYPERLINK("http://www8.mpce.mp.br/Empenhos/150501/NE/2024NE000472.pdf","2024NE000472")</f>
        <v>2024NE000472</v>
      </c>
      <c r="L481">
        <v>46.43</v>
      </c>
      <c r="M481" t="s">
        <v>211</v>
      </c>
      <c r="N481">
        <v>46950052391</v>
      </c>
    </row>
    <row r="482" spans="1:14" ht="38.25" x14ac:dyDescent="0.25">
      <c r="A482" s="12" t="s">
        <v>34</v>
      </c>
      <c r="B482" s="2" t="s">
        <v>774</v>
      </c>
      <c r="C482" s="3" t="str">
        <f>HYPERLINK("https://transparencia-area-fim.mpce.mp.br/#/consulta/processo/pastadigital/092021000157125","09.2021.00015712-5")</f>
        <v>09.2021.00015712-5</v>
      </c>
      <c r="D482" s="4">
        <v>45545</v>
      </c>
      <c r="E482" s="16" t="str">
        <f>HYPERLINK("https://www8.mpce.mp.br/Empenhos/150001/Objeto/32-2021.pdf","EMPENHO REF. SEGURO DE VIDA DE 800 (OITOCENTOS) ESTAGIÁRIOS DO MPCE, CONF. CONTRATO 032/2021, REF. PERÍODO DE 18/08/2024 A 16/09/2024, POR ESTIMATIVA. ")</f>
        <v xml:space="preserve">EMPENHO REF. SEGURO DE VIDA DE 800 (OITOCENTOS) ESTAGIÁRIOS DO MPCE, CONF. CONTRATO 032/2021, REF. PERÍODO DE 18/08/2024 A 16/09/2024, POR ESTIMATIVA. </v>
      </c>
      <c r="F482" s="2" t="s">
        <v>61</v>
      </c>
      <c r="G482" s="5" t="str">
        <f>HYPERLINK("http://www8.mpce.mp.br/Empenhos/150501/NE/2024NE000958.pdf","2024NE000958")</f>
        <v>2024NE000958</v>
      </c>
      <c r="H482" s="6">
        <v>152</v>
      </c>
      <c r="I482" s="7" t="s">
        <v>38</v>
      </c>
      <c r="J482" s="10" t="s">
        <v>39</v>
      </c>
      <c r="K482" t="str">
        <f>HYPERLINK("http://www8.mpce.mp.br/Empenhos/150501/NE/2024NE000473.pdf","2024NE000473")</f>
        <v>2024NE000473</v>
      </c>
      <c r="L482" s="13">
        <v>3302.3</v>
      </c>
      <c r="M482" t="s">
        <v>207</v>
      </c>
      <c r="N482">
        <v>50937197300</v>
      </c>
    </row>
    <row r="483" spans="1:14" ht="51" x14ac:dyDescent="0.25">
      <c r="A483" s="12" t="s">
        <v>34</v>
      </c>
      <c r="B483" s="2" t="s">
        <v>334</v>
      </c>
      <c r="C483" s="3" t="str">
        <f>HYPERLINK("https://transparencia-area-fim.mpce.mp.br/#/consulta/processo/pastadigital/092021000244582","09.2021.00024458-2")</f>
        <v>09.2021.00024458-2</v>
      </c>
      <c r="D483" s="4">
        <v>45545</v>
      </c>
      <c r="E483" s="16" t="str">
        <f>HYPERLINK("https://www8.mpce.mp.br/Empenhos/150001/Objeto/11-2022.pdf","EMPENHO REF. REEMBOLSO DE IPTU DO IMÓVEL ONDE FUNCIONA A SEDE DAS PROMOTORIAS DE JUSTIÇA DA COMARCA DE ARACATI, CONF. CONTRATO 011/2022, REF. 2024 - PARCELA ÚNICA.")</f>
        <v>EMPENHO REF. REEMBOLSO DE IPTU DO IMÓVEL ONDE FUNCIONA A SEDE DAS PROMOTORIAS DE JUSTIÇA DA COMARCA DE ARACATI, CONF. CONTRATO 011/2022, REF. 2024 - PARCELA ÚNICA.</v>
      </c>
      <c r="F483" s="2" t="s">
        <v>252</v>
      </c>
      <c r="G483" s="5" t="str">
        <f>HYPERLINK("http://www8.mpce.mp.br/Empenhos/150501/NE/2024NE000959.pdf","2024NE000959")</f>
        <v>2024NE000959</v>
      </c>
      <c r="H483" s="6">
        <v>2843.45</v>
      </c>
      <c r="I483" s="7" t="s">
        <v>171</v>
      </c>
      <c r="J483" s="10" t="s">
        <v>172</v>
      </c>
      <c r="K483" t="str">
        <f>HYPERLINK("http://www8.mpce.mp.br/Empenhos/150501/NE/2024NE000474.pdf","2024NE000474")</f>
        <v>2024NE000474</v>
      </c>
      <c r="L483">
        <v>26</v>
      </c>
      <c r="M483" t="s">
        <v>207</v>
      </c>
      <c r="N483">
        <v>50937197300</v>
      </c>
    </row>
    <row r="484" spans="1:14" ht="51" x14ac:dyDescent="0.25">
      <c r="A484" s="12" t="s">
        <v>34</v>
      </c>
      <c r="B484" s="2" t="s">
        <v>768</v>
      </c>
      <c r="C484" s="3" t="str">
        <f>HYPERLINK("https://transparencia-area-fim.mpce.mp.br/#/consulta/processo/pastadigital/092022000230870","09.2022.00023087-0")</f>
        <v>09.2022.00023087-0</v>
      </c>
      <c r="D484" s="4">
        <v>45567</v>
      </c>
      <c r="E484" s="16" t="str">
        <f>HYPERLINK("https://www8.mpce.mp.br/Empenhos/150001/Objeto/29-2022.pdf","EMPENHO REF. ALUGUEL DE IMÓVEL ONDE FUNCIONA SEDE DE PROMOTORIAS DE JUSTIÇA DE JUAZEIRO DO NORTE, CONF. CONTRATO 029/2022, REF. OUT/2024, POR ESTIMATIVA.")</f>
        <v>EMPENHO REF. ALUGUEL DE IMÓVEL ONDE FUNCIONA SEDE DE PROMOTORIAS DE JUSTIÇA DE JUAZEIRO DO NORTE, CONF. CONTRATO 029/2022, REF. OUT/2024, POR ESTIMATIVA.</v>
      </c>
      <c r="F484" s="2" t="s">
        <v>116</v>
      </c>
      <c r="G484" s="5" t="str">
        <f>HYPERLINK("http://www8.mpce.mp.br/Empenhos/150501/NE/2024NE000965.pdf","2024NE000965")</f>
        <v>2024NE000965</v>
      </c>
      <c r="H484" s="6">
        <v>66161.41</v>
      </c>
      <c r="I484" s="7" t="s">
        <v>132</v>
      </c>
      <c r="J484" s="10" t="s">
        <v>133</v>
      </c>
      <c r="K484" t="str">
        <f>HYPERLINK("http://www8.mpce.mp.br/Empenhos/150501/NE/2024NE000475.pdf","2024NE000475")</f>
        <v>2024NE000475</v>
      </c>
      <c r="L484" s="13">
        <v>2619.0100000000002</v>
      </c>
      <c r="M484" t="s">
        <v>158</v>
      </c>
      <c r="N484">
        <v>5569807000163</v>
      </c>
    </row>
    <row r="485" spans="1:14" ht="51" x14ac:dyDescent="0.25">
      <c r="A485" s="12" t="s">
        <v>34</v>
      </c>
      <c r="B485" s="2" t="s">
        <v>768</v>
      </c>
      <c r="C485" s="3" t="str">
        <f>HYPERLINK("https://transparencia-area-fim.mpce.mp.br/#/consulta/processo/pastadigital/092021000244282","09.2021.00024428-2")</f>
        <v>09.2021.00024428-2</v>
      </c>
      <c r="D485" s="4">
        <v>45567</v>
      </c>
      <c r="E485" s="16" t="str">
        <f>HYPERLINK("https://www8.mpce.mp.br/Empenhos/150001/Objeto/18-2022.pdf","EMPENHO REF. ALUGUEL DE IMÓVEL ONDE FUNCIONA SEDE DE PROMOTORIAS DE JUSTIÇA DA COMARCA DE CRATEÚS, CONF. CONTRATO 018/2022, REF. OUT/2024, POR ESTIMATIVA.")</f>
        <v>EMPENHO REF. ALUGUEL DE IMÓVEL ONDE FUNCIONA SEDE DE PROMOTORIAS DE JUSTIÇA DA COMARCA DE CRATEÚS, CONF. CONTRATO 018/2022, REF. OUT/2024, POR ESTIMATIVA.</v>
      </c>
      <c r="F485" s="2" t="s">
        <v>116</v>
      </c>
      <c r="G485" s="5" t="str">
        <f>HYPERLINK("http://www8.mpce.mp.br/Empenhos/150501/NE/2024NE000966.pdf","2024NE000966")</f>
        <v>2024NE000966</v>
      </c>
      <c r="H485" s="6">
        <v>26000.1</v>
      </c>
      <c r="I485" s="7" t="s">
        <v>134</v>
      </c>
      <c r="J485" s="10" t="s">
        <v>135</v>
      </c>
      <c r="K485" t="str">
        <f>HYPERLINK("http://www8.mpce.mp.br/Empenhos/150501/NE/2024NE000476.pdf","2024NE000476")</f>
        <v>2024NE000476</v>
      </c>
      <c r="L485" s="13">
        <v>1585.98</v>
      </c>
      <c r="M485" t="s">
        <v>132</v>
      </c>
      <c r="N485">
        <v>11710431000168</v>
      </c>
    </row>
    <row r="486" spans="1:14" ht="51" x14ac:dyDescent="0.25">
      <c r="A486" s="12" t="s">
        <v>34</v>
      </c>
      <c r="B486" s="2" t="s">
        <v>334</v>
      </c>
      <c r="C486" s="3" t="str">
        <f>HYPERLINK("https://transparencia-area-fim.mpce.mp.br/#/consulta/processo/pastadigital/092021000244271","09.2021.00024427-1")</f>
        <v>09.2021.00024427-1</v>
      </c>
      <c r="D486" s="4">
        <v>45567</v>
      </c>
      <c r="E486" s="16" t="str">
        <f>HYPERLINK("https://www8.mpce.mp.br/Empenhos/150001/Objeto/17-2022.pdf","EMPENHO REF. ALUGUEL DE IMÓVEL ONDE FUNCIONA SEDE DE PROMOTORIAS DE JUSTIÇA DA COMARCA DE TIANGUÁ, CONF. CONTRATO 017/2022, REF. OUT/2024, POR ESTIMATIVA.")</f>
        <v>EMPENHO REF. ALUGUEL DE IMÓVEL ONDE FUNCIONA SEDE DE PROMOTORIAS DE JUSTIÇA DA COMARCA DE TIANGUÁ, CONF. CONTRATO 017/2022, REF. OUT/2024, POR ESTIMATIVA.</v>
      </c>
      <c r="F486" s="2" t="s">
        <v>116</v>
      </c>
      <c r="G486" s="5" t="str">
        <f>HYPERLINK("http://www8.mpce.mp.br/Empenhos/150501/NE/2024NE000967.pdf","2024NE000967")</f>
        <v>2024NE000967</v>
      </c>
      <c r="H486" s="6">
        <v>26000</v>
      </c>
      <c r="I486" s="7" t="s">
        <v>175</v>
      </c>
      <c r="J486" s="10" t="s">
        <v>176</v>
      </c>
      <c r="K486" t="str">
        <f>HYPERLINK("http://www8.mpce.mp.br/Empenhos/150001/NE/2024NE000476.pdf","2024NE000476")</f>
        <v>2024NE000476</v>
      </c>
      <c r="L486" s="13">
        <v>29700</v>
      </c>
      <c r="M486" t="s">
        <v>411</v>
      </c>
      <c r="N486">
        <v>36418009000164</v>
      </c>
    </row>
    <row r="487" spans="1:14" ht="51" x14ac:dyDescent="0.25">
      <c r="A487" s="12" t="s">
        <v>34</v>
      </c>
      <c r="B487" s="2" t="s">
        <v>334</v>
      </c>
      <c r="C487" s="3" t="str">
        <f>HYPERLINK("https://transparencia-area-fim.mpce.mp.br/#/consulta/processo/pastadigital/092022000081432","09.2022.00008143-2")</f>
        <v>09.2022.00008143-2</v>
      </c>
      <c r="D487" s="4">
        <v>45547</v>
      </c>
      <c r="E487" s="16" t="str">
        <f>HYPERLINK("https://www8.mpce.mp.br/Empenhos/150001/Objeto/16-2022.pdf","EMPENHO REF. ALUGUEL DE IMÓVEL ONDE FUNCIONA SEDE DE PROMOTORIAS DE JUSTIÇA DA COMARCA DE BARBALHA, CONF. CONTRATO 016/2022, REF. OUT/2024, POR ESTIMATIVA.")</f>
        <v>EMPENHO REF. ALUGUEL DE IMÓVEL ONDE FUNCIONA SEDE DE PROMOTORIAS DE JUSTIÇA DA COMARCA DE BARBALHA, CONF. CONTRATO 016/2022, REF. OUT/2024, POR ESTIMATIVA.</v>
      </c>
      <c r="F487" s="2" t="s">
        <v>116</v>
      </c>
      <c r="G487" s="5" t="str">
        <f>HYPERLINK("http://www8.mpce.mp.br/Empenhos/150501/NE/2024NE000968.pdf","2024NE000968")</f>
        <v>2024NE000968</v>
      </c>
      <c r="H487" s="6">
        <v>16434.259999999998</v>
      </c>
      <c r="I487" s="7" t="s">
        <v>132</v>
      </c>
      <c r="J487" s="10" t="s">
        <v>133</v>
      </c>
      <c r="K487" t="str">
        <f>HYPERLINK("http://www8.mpce.mp.br/Empenhos/150501/NE/2024NE000481.pdf","2024NE000481")</f>
        <v>2024NE000481</v>
      </c>
      <c r="L487" s="13">
        <v>20105.18</v>
      </c>
      <c r="M487" t="s">
        <v>134</v>
      </c>
      <c r="N487">
        <v>44114554000195</v>
      </c>
    </row>
    <row r="488" spans="1:14" ht="51" x14ac:dyDescent="0.25">
      <c r="A488" s="12" t="s">
        <v>34</v>
      </c>
      <c r="B488" s="2" t="s">
        <v>334</v>
      </c>
      <c r="C488" s="3" t="str">
        <f>HYPERLINK("https://transparencia-area-fim.mpce.mp.br/#/consulta/processo/pastadigital/092021000244449","09.2021.00024444-9")</f>
        <v>09.2021.00024444-9</v>
      </c>
      <c r="D488" s="4">
        <v>45568</v>
      </c>
      <c r="E488" s="16" t="str">
        <f>HYPERLINK("https://www8.mpce.mp.br/Empenhos/150001/Objeto/12-2022.pdf","EMPENHO REF. ALUGUEL DO IMÓVEL ONDE FUNCIONA SEDE DE PROMOTORIAS DE JUSTIÇA DA COMARCA DE RUSSAS, CONF. CONTRATO 012/2022, REF. OUT/2024, POR ESTIMATIVA.")</f>
        <v>EMPENHO REF. ALUGUEL DO IMÓVEL ONDE FUNCIONA SEDE DE PROMOTORIAS DE JUSTIÇA DA COMARCA DE RUSSAS, CONF. CONTRATO 012/2022, REF. OUT/2024, POR ESTIMATIVA.</v>
      </c>
      <c r="F488" s="2" t="s">
        <v>116</v>
      </c>
      <c r="G488" s="5" t="str">
        <f>HYPERLINK("http://www8.mpce.mp.br/Empenhos/150501/NE/2024NE000971.pdf","2024NE000971")</f>
        <v>2024NE000971</v>
      </c>
      <c r="H488" s="6">
        <v>20900</v>
      </c>
      <c r="I488" s="7" t="s">
        <v>129</v>
      </c>
      <c r="J488" s="10" t="s">
        <v>130</v>
      </c>
      <c r="K488" t="str">
        <f>HYPERLINK("http://www8.mpce.mp.br/Empenhos/150501/NE/2024NE000485.pdf","2024NE000485")</f>
        <v>2024NE000485</v>
      </c>
      <c r="L488" s="13">
        <v>27224</v>
      </c>
      <c r="M488" t="s">
        <v>129</v>
      </c>
      <c r="N488">
        <v>32697604000125</v>
      </c>
    </row>
    <row r="489" spans="1:14" ht="51" x14ac:dyDescent="0.25">
      <c r="A489" s="12" t="s">
        <v>34</v>
      </c>
      <c r="B489" s="2" t="s">
        <v>334</v>
      </c>
      <c r="C489" s="3" t="str">
        <f>HYPERLINK("https://transparencia-area-fim.mpce.mp.br/#/consulta/processo/pastadigital/092021000244582","09.2021.00024458-2")</f>
        <v>09.2021.00024458-2</v>
      </c>
      <c r="D489" s="4">
        <v>45567</v>
      </c>
      <c r="E489" s="16" t="str">
        <f>HYPERLINK("https://www8.mpce.mp.br/Empenhos/150001/Objeto/11-2022.pdf","EMPENHO REF. ALUGUEL DE IMÓVEL ONDE FUNCIONA SEDE DE PROMOTORIAS DE JUSTIÇA DA COMARCA DE ARACATI, CONF. CONTRATO 011/2022, REF. OUT/2024, POR ESTIMATIVA.")</f>
        <v>EMPENHO REF. ALUGUEL DE IMÓVEL ONDE FUNCIONA SEDE DE PROMOTORIAS DE JUSTIÇA DA COMARCA DE ARACATI, CONF. CONTRATO 011/2022, REF. OUT/2024, POR ESTIMATIVA.</v>
      </c>
      <c r="F489" s="2" t="s">
        <v>116</v>
      </c>
      <c r="G489" s="5" t="str">
        <f>HYPERLINK("http://www8.mpce.mp.br/Empenhos/150501/NE/2024NE000972.pdf","2024NE000972")</f>
        <v>2024NE000972</v>
      </c>
      <c r="H489" s="6">
        <v>18465</v>
      </c>
      <c r="I489" s="7" t="s">
        <v>171</v>
      </c>
      <c r="J489" s="10" t="s">
        <v>172</v>
      </c>
      <c r="K489" t="str">
        <f>HYPERLINK("http://www8.mpce.mp.br/Empenhos/150501/NE/2024NE000486.pdf","2024NE000486")</f>
        <v>2024NE000486</v>
      </c>
      <c r="L489" s="13">
        <v>4683.9399999999996</v>
      </c>
      <c r="M489" t="s">
        <v>211</v>
      </c>
      <c r="N489">
        <v>46950052391</v>
      </c>
    </row>
    <row r="490" spans="1:14" ht="51" x14ac:dyDescent="0.25">
      <c r="A490" s="12" t="s">
        <v>34</v>
      </c>
      <c r="B490" s="2" t="s">
        <v>334</v>
      </c>
      <c r="C490" s="3" t="str">
        <f>HYPERLINK("https://transparencia-area-fim.mpce.mp.br/#/consulta/processo/pastadigital/092021000064195","09.2021.00006419-5")</f>
        <v>09.2021.00006419-5</v>
      </c>
      <c r="D490" s="4">
        <v>45567</v>
      </c>
      <c r="E490" s="16" t="str">
        <f>HYPERLINK("https://www8.mpce.mp.br/Empenhos/150001/Objeto/41-2021.pdf","EMPENHO REF. ALUGUEL DE IMÓVEL ONDE FUNCIONA SEDE DE PROMOTORIAS DE JUSTIÇA DA COMARCA DE QUIXADÁ, CONF. CONTRATO 041/2021, REF. OUT/2024, POR ESTIMATIVA.")</f>
        <v>EMPENHO REF. ALUGUEL DE IMÓVEL ONDE FUNCIONA SEDE DE PROMOTORIAS DE JUSTIÇA DA COMARCA DE QUIXADÁ, CONF. CONTRATO 041/2021, REF. OUT/2024, POR ESTIMATIVA.</v>
      </c>
      <c r="F490" s="2" t="s">
        <v>116</v>
      </c>
      <c r="G490" s="5" t="str">
        <f>HYPERLINK("http://www8.mpce.mp.br/Empenhos/150501/NE/2024NE000973.pdf","2024NE000973")</f>
        <v>2024NE000973</v>
      </c>
      <c r="H490" s="6">
        <v>18900</v>
      </c>
      <c r="I490" s="7" t="s">
        <v>129</v>
      </c>
      <c r="J490" s="10" t="s">
        <v>130</v>
      </c>
      <c r="K490" t="str">
        <f>HYPERLINK("http://www8.mpce.mp.br/Empenhos/150501/NE/2024NE000487.pdf","2024NE000487")</f>
        <v>2024NE000487</v>
      </c>
      <c r="L490" s="13">
        <v>8683.1200000000008</v>
      </c>
      <c r="M490" t="s">
        <v>232</v>
      </c>
      <c r="N490">
        <v>18904432391</v>
      </c>
    </row>
    <row r="491" spans="1:14" ht="51" x14ac:dyDescent="0.25">
      <c r="A491" s="12" t="s">
        <v>34</v>
      </c>
      <c r="B491" s="2" t="s">
        <v>768</v>
      </c>
      <c r="C491" s="3" t="str">
        <f>HYPERLINK("https://transparencia-area-fim.mpce.mp.br/#/consulta/processo/pastadigital/092021000244550","09.2021.00024455-0")</f>
        <v>09.2021.00024455-0</v>
      </c>
      <c r="D491" s="4">
        <v>45567</v>
      </c>
      <c r="E491" s="16" t="str">
        <f>HYPERLINK("https://www8.mpce.mp.br/Empenhos/150001/Objeto/10-2022.pdf","EMPENHO REF. ALUGUEL DE IMÓVEL ONDE FUNCIONA SEDE DE PROMOTORIAS DE JUSTIÇA DA COMARCA DE ICÓ, CONF. CONTRATO 010/2022, REF. OUT/2024, POR ESTIMATIVA.")</f>
        <v>EMPENHO REF. ALUGUEL DE IMÓVEL ONDE FUNCIONA SEDE DE PROMOTORIAS DE JUSTIÇA DA COMARCA DE ICÓ, CONF. CONTRATO 010/2022, REF. OUT/2024, POR ESTIMATIVA.</v>
      </c>
      <c r="F491" s="2" t="s">
        <v>116</v>
      </c>
      <c r="G491" s="5" t="str">
        <f>HYPERLINK("http://www8.mpce.mp.br/Empenhos/150501/NE/2024NE000974.pdf","2024NE000974")</f>
        <v>2024NE000974</v>
      </c>
      <c r="H491" s="6">
        <v>13486.5</v>
      </c>
      <c r="I491" s="7" t="s">
        <v>402</v>
      </c>
      <c r="J491" s="10" t="s">
        <v>841</v>
      </c>
      <c r="K491" t="str">
        <f>HYPERLINK("http://www8.mpce.mp.br/Empenhos/150501/NE/2024NE000488.pdf","2024NE000488")</f>
        <v>2024NE000488</v>
      </c>
      <c r="L491" s="13">
        <v>52000.2</v>
      </c>
      <c r="M491" t="s">
        <v>134</v>
      </c>
      <c r="N491">
        <v>44114554000195</v>
      </c>
    </row>
    <row r="492" spans="1:14" ht="51" x14ac:dyDescent="0.25">
      <c r="A492" s="12" t="s">
        <v>34</v>
      </c>
      <c r="B492" s="2" t="s">
        <v>768</v>
      </c>
      <c r="C492" s="3" t="str">
        <f>HYPERLINK("https://transparencia-area-fim.mpce.mp.br/#/consulta/processo/pastadigital/092021000065217","09.2021.00006521-7")</f>
        <v>09.2021.00006521-7</v>
      </c>
      <c r="D492" s="4">
        <v>45567</v>
      </c>
      <c r="E492" s="16" t="str">
        <f>HYPERLINK("https://www8.mpce.mp.br/Empenhos/150001/Objeto/38-2021.pdf","EMPENHO REF. ALUGUEL DE IMÓVEL ONDE FUNCIONA SEDE DE PROMOTORIAS DE JUSTIÇA DA COMARCA DE TAUÁ, CONF. CONTRATO 038/2021, REF. OUT/2024, POR ESTIMATIVA.")</f>
        <v>EMPENHO REF. ALUGUEL DE IMÓVEL ONDE FUNCIONA SEDE DE PROMOTORIAS DE JUSTIÇA DA COMARCA DE TAUÁ, CONF. CONTRATO 038/2021, REF. OUT/2024, POR ESTIMATIVA.</v>
      </c>
      <c r="F492" s="2" t="s">
        <v>116</v>
      </c>
      <c r="G492" s="5" t="str">
        <f>HYPERLINK("http://www8.mpce.mp.br/Empenhos/150501/NE/2024NE000975.pdf","2024NE000975")</f>
        <v>2024NE000975</v>
      </c>
      <c r="H492" s="6">
        <v>18000</v>
      </c>
      <c r="I492" s="7" t="s">
        <v>146</v>
      </c>
      <c r="J492" s="10" t="s">
        <v>147</v>
      </c>
      <c r="K492" t="str">
        <f>HYPERLINK("http://www8.mpce.mp.br/Empenhos/150501/NE/2024NE000489.pdf","2024NE000489")</f>
        <v>2024NE000489</v>
      </c>
      <c r="L492" s="13">
        <v>4800</v>
      </c>
      <c r="M492" t="s">
        <v>209</v>
      </c>
      <c r="N492">
        <v>25876988391</v>
      </c>
    </row>
    <row r="493" spans="1:14" ht="76.5" x14ac:dyDescent="0.25">
      <c r="A493" s="12" t="s">
        <v>9</v>
      </c>
      <c r="B493" s="2" t="s">
        <v>462</v>
      </c>
      <c r="C493" s="3" t="str">
        <f>HYPERLINK("https://transparencia-area-fim.mpce.mp.br/#/consulta/processo/pastadigital/092024000136197","09.2024.00013619-7")</f>
        <v>09.2024.00013619-7</v>
      </c>
      <c r="D493" s="4">
        <v>45408</v>
      </c>
      <c r="E493" s="16" t="s">
        <v>463</v>
      </c>
      <c r="F493" s="2" t="s">
        <v>373</v>
      </c>
      <c r="G493" s="5" t="str">
        <f>HYPERLINK("http://www8.mpce.mp.br/Empenhos/150001/NE/2024NE000976.pdf","2024NE000976")</f>
        <v>2024NE000976</v>
      </c>
      <c r="H493" s="6">
        <v>3190</v>
      </c>
      <c r="I493" s="7" t="s">
        <v>464</v>
      </c>
      <c r="J493" s="10" t="s">
        <v>861</v>
      </c>
      <c r="K493" t="str">
        <f>HYPERLINK("http://www8.mpce.mp.br/Empenhos/150501/NE/2024NE000490.pdf","2024NE000490")</f>
        <v>2024NE000490</v>
      </c>
      <c r="L493" s="13">
        <v>7794.48</v>
      </c>
      <c r="M493" t="s">
        <v>188</v>
      </c>
      <c r="N493">
        <v>1728735335</v>
      </c>
    </row>
    <row r="494" spans="1:14" ht="51" x14ac:dyDescent="0.25">
      <c r="A494" s="12" t="s">
        <v>34</v>
      </c>
      <c r="B494" s="2" t="s">
        <v>768</v>
      </c>
      <c r="C494" s="3" t="str">
        <f>HYPERLINK("https://transparencia-area-fim.mpce.mp.br/#/consulta/processo/pastadigital/092021000063220","09.2021.00006322-0")</f>
        <v>09.2021.00006322-0</v>
      </c>
      <c r="D494" s="4">
        <v>45567</v>
      </c>
      <c r="E494" s="16" t="str">
        <f>HYPERLINK("https://www8.mpce.mp.br/Empenhos/150001/Objeto/33-2021.pdf","EMPENHO REF. ALUGUEL DE IMÓVEL ONDE FUNCIONA SEDE DE PROMOTORIAS DE JUSTIÇA DA COMARCA DE SOBRAL, CONF. CONTRATO 033/2021, REF. OUT/2024, POR ESTIMATIVA.")</f>
        <v>EMPENHO REF. ALUGUEL DE IMÓVEL ONDE FUNCIONA SEDE DE PROMOTORIAS DE JUSTIÇA DA COMARCA DE SOBRAL, CONF. CONTRATO 033/2021, REF. OUT/2024, POR ESTIMATIVA.</v>
      </c>
      <c r="F494" s="2" t="s">
        <v>116</v>
      </c>
      <c r="G494" s="5" t="str">
        <f>HYPERLINK("http://www8.mpce.mp.br/Empenhos/150501/NE/2024NE000976.pdf","2024NE000976")</f>
        <v>2024NE000976</v>
      </c>
      <c r="H494" s="6">
        <v>33400.11</v>
      </c>
      <c r="I494" s="7" t="s">
        <v>134</v>
      </c>
      <c r="J494" s="10" t="s">
        <v>135</v>
      </c>
      <c r="K494" t="str">
        <f>HYPERLINK("http://www8.mpce.mp.br/Empenhos/150501/NE/2024NE000491.pdf","2024NE000491")</f>
        <v>2024NE000491</v>
      </c>
      <c r="L494" s="13">
        <v>132322.82</v>
      </c>
      <c r="M494" t="s">
        <v>132</v>
      </c>
      <c r="N494">
        <v>11710431000168</v>
      </c>
    </row>
    <row r="495" spans="1:14" ht="38.25" x14ac:dyDescent="0.25">
      <c r="A495" s="12" t="s">
        <v>34</v>
      </c>
      <c r="B495" s="2" t="s">
        <v>334</v>
      </c>
      <c r="C495" s="3" t="str">
        <f>HYPERLINK("http://www8.mpce.mp.br/Dispensa/1984020196.pdf","19840/2019-6")</f>
        <v>19840/2019-6</v>
      </c>
      <c r="D495" s="4">
        <v>45567</v>
      </c>
      <c r="E495" s="16" t="str">
        <f>HYPERLINK("https://www8.mpce.mp.br/Empenhos/150001/Objeto/48-2019.pdf","EMPENHO REF. ALUGUEL DE IMÓVEL ONDE FUNCIONA SEDE DE PROMOTORIAS DE JUSTIÇA DE CAUCAIA, CONF. CONTRATO 048/2019, REF. OUT/2024, POR ESTIMATIVA.")</f>
        <v>EMPENHO REF. ALUGUEL DE IMÓVEL ONDE FUNCIONA SEDE DE PROMOTORIAS DE JUSTIÇA DE CAUCAIA, CONF. CONTRATO 048/2019, REF. OUT/2024, POR ESTIMATIVA.</v>
      </c>
      <c r="F495" s="2" t="s">
        <v>116</v>
      </c>
      <c r="G495" s="5" t="str">
        <f>HYPERLINK("http://www8.mpce.mp.br/Empenhos/150501/NE/2024NE000977.pdf","2024NE000977")</f>
        <v>2024NE000977</v>
      </c>
      <c r="H495" s="6">
        <v>47253.13</v>
      </c>
      <c r="I495" s="7" t="s">
        <v>151</v>
      </c>
      <c r="J495" s="10" t="s">
        <v>152</v>
      </c>
      <c r="K495" t="str">
        <f>HYPERLINK("http://www8.mpce.mp.br/Empenhos/150501/NE/2024NE000495.pdf","2024NE000495")</f>
        <v>2024NE000495</v>
      </c>
      <c r="L495" s="13">
        <v>4192.49</v>
      </c>
      <c r="M495" t="s">
        <v>134</v>
      </c>
      <c r="N495">
        <v>44114554000195</v>
      </c>
    </row>
    <row r="496" spans="1:14" ht="38.25" x14ac:dyDescent="0.25">
      <c r="A496" s="12" t="s">
        <v>34</v>
      </c>
      <c r="B496" s="2" t="s">
        <v>768</v>
      </c>
      <c r="C496" s="3" t="str">
        <f>HYPERLINK("http://www8.mpce.mp.br/Dispensa/842220170.pdf","8422/20170")</f>
        <v>8422/20170</v>
      </c>
      <c r="D496" s="4">
        <v>45567</v>
      </c>
      <c r="E496" s="16" t="str">
        <f>HYPERLINK("https://www8.mpce.mp.br/Empenhos/150001/Objeto/16-2017.pdf","EMPENHO REF. ALUGUEL DE IMÓVEL ONDE FUNCIONAM PROMOTORIAS DA COMARCA DE FORTALEZA, CONF. CONTRATO 016/2017, REF. OUT/2024, POR ESTIMATIVA.")</f>
        <v>EMPENHO REF. ALUGUEL DE IMÓVEL ONDE FUNCIONAM PROMOTORIAS DA COMARCA DE FORTALEZA, CONF. CONTRATO 016/2017, REF. OUT/2024, POR ESTIMATIVA.</v>
      </c>
      <c r="F496" s="2" t="s">
        <v>116</v>
      </c>
      <c r="G496" s="5" t="str">
        <f>HYPERLINK("http://www8.mpce.mp.br/Empenhos/150501/NE/2024NE000978.pdf","2024NE000978")</f>
        <v>2024NE000978</v>
      </c>
      <c r="H496" s="6">
        <v>58910.97</v>
      </c>
      <c r="I496" s="7" t="s">
        <v>158</v>
      </c>
      <c r="J496" s="10" t="s">
        <v>159</v>
      </c>
      <c r="K496" t="str">
        <f>HYPERLINK("http://www8.mpce.mp.br/Empenhos/150501/NE/2024NE000496.pdf","2024NE000496")</f>
        <v>2024NE000496</v>
      </c>
      <c r="L496" s="13">
        <v>162760</v>
      </c>
      <c r="M496" t="s">
        <v>254</v>
      </c>
      <c r="N496">
        <v>8918421000108</v>
      </c>
    </row>
    <row r="497" spans="1:14" ht="51" x14ac:dyDescent="0.25">
      <c r="A497" s="12" t="s">
        <v>34</v>
      </c>
      <c r="B497" s="2" t="s">
        <v>768</v>
      </c>
      <c r="C497" s="3" t="str">
        <f>HYPERLINK("https://transparencia-area-fim.mpce.mp.br/#/consulta/processo/pastadigital/092022000197876","09.2022.00019787-6")</f>
        <v>09.2022.00019787-6</v>
      </c>
      <c r="D497" s="4">
        <v>45565</v>
      </c>
      <c r="E497" s="16" t="str">
        <f>HYPERLINK("https://www8.mpce.mp.br/Empenhos/150001/Objeto/02-2023.pdf","EMPENHO REF. ALUGUEL DO IMÓVEL ONDE FUNCIONA A SEDE DO NÚCLEO DE MEDIAÇÃO COMUNITÁRIA DO BOM JARDIM, CONF. CONTRATO 002/2023, REF. OUT/2024, POR ESTIMATIVA.")</f>
        <v>EMPENHO REF. ALUGUEL DO IMÓVEL ONDE FUNCIONA A SEDE DO NÚCLEO DE MEDIAÇÃO COMUNITÁRIA DO BOM JARDIM, CONF. CONTRATO 002/2023, REF. OUT/2024, POR ESTIMATIVA.</v>
      </c>
      <c r="F497" s="2" t="s">
        <v>116</v>
      </c>
      <c r="G497" s="5" t="str">
        <f>HYPERLINK("http://www8.mpce.mp.br/Empenhos/150501/NE/2024NE000979.pdf","2024NE000979")</f>
        <v>2024NE000979</v>
      </c>
      <c r="H497" s="6">
        <v>5600</v>
      </c>
      <c r="I497" s="7" t="s">
        <v>123</v>
      </c>
      <c r="J497" s="10" t="s">
        <v>124</v>
      </c>
      <c r="K497" t="str">
        <f>HYPERLINK("http://www8.mpce.mp.br/Empenhos/150501/NE/2024NE000503.pdf","2024NE000503")</f>
        <v>2024NE000503</v>
      </c>
      <c r="L497">
        <v>83.51</v>
      </c>
      <c r="M497" t="s">
        <v>219</v>
      </c>
      <c r="N497">
        <v>20941439372</v>
      </c>
    </row>
    <row r="498" spans="1:14" ht="38.25" x14ac:dyDescent="0.25">
      <c r="A498" s="12" t="s">
        <v>34</v>
      </c>
      <c r="B498" s="2" t="s">
        <v>334</v>
      </c>
      <c r="C498" s="3" t="str">
        <f>HYPERLINK("http://www8.mpce.mp.br/Dispensa/4793720162.pdf","4793720162")</f>
        <v>4793720162</v>
      </c>
      <c r="D498" s="4">
        <v>45567</v>
      </c>
      <c r="E498" s="16" t="str">
        <f>HYPERLINK("https://www8.mpce.mp.br/Empenhos/150001/Objeto/14-2017.pdf","EMPENHO REF. ALUGUEL DE IMÓVEL ONDE FUNCIONAM O ALMOXARIFADO E PATRIMÔNIO, CONF. CONTRATO 014/2017, REF. OUT/2024, POR ESTIMATIVA.")</f>
        <v>EMPENHO REF. ALUGUEL DE IMÓVEL ONDE FUNCIONAM O ALMOXARIFADO E PATRIMÔNIO, CONF. CONTRATO 014/2017, REF. OUT/2024, POR ESTIMATIVA.</v>
      </c>
      <c r="F498" s="2" t="s">
        <v>116</v>
      </c>
      <c r="G498" s="5" t="str">
        <f>HYPERLINK("http://www8.mpce.mp.br/Empenhos/150501/NE/2024NE000980.pdf","2024NE000980")</f>
        <v>2024NE000980</v>
      </c>
      <c r="H498" s="6">
        <v>22143.48</v>
      </c>
      <c r="I498" s="7" t="s">
        <v>153</v>
      </c>
      <c r="J498" s="10" t="s">
        <v>154</v>
      </c>
      <c r="K498" t="str">
        <f>HYPERLINK("http://www8.mpce.mp.br/Empenhos/150501/NE/2024NE000505.pdf","2024NE000505")</f>
        <v>2024NE000505</v>
      </c>
      <c r="L498" s="13">
        <v>36096.6</v>
      </c>
      <c r="M498" t="s">
        <v>511</v>
      </c>
      <c r="N498">
        <v>33372251006600</v>
      </c>
    </row>
    <row r="499" spans="1:14" ht="51" x14ac:dyDescent="0.25">
      <c r="A499" s="12" t="s">
        <v>34</v>
      </c>
      <c r="B499" s="2" t="s">
        <v>768</v>
      </c>
      <c r="C499" s="3" t="str">
        <f>HYPERLINK("http://www8.mpce.mp.br/Dispensa/6795020160.pdf","6795020160")</f>
        <v>6795020160</v>
      </c>
      <c r="D499" s="4">
        <v>45565</v>
      </c>
      <c r="E499" s="16" t="str">
        <f>HYPERLINK("https://www8.mpce.mp.br/Empenhos/150001/Objeto/08-2017.pdf","EMPENHO REF. ALUGUEL DE IMÓVEL ONDE FUNCIONA SEDE DE PROMOTORIAS DE JUSTIÇA DA COMARCA DE JARDIM, CONF. CONTRATO 008/2017, REF. OUT, POR ESTIMATIVA.")</f>
        <v>EMPENHO REF. ALUGUEL DE IMÓVEL ONDE FUNCIONA SEDE DE PROMOTORIAS DE JUSTIÇA DA COMARCA DE JARDIM, CONF. CONTRATO 008/2017, REF. OUT, POR ESTIMATIVA.</v>
      </c>
      <c r="F499" s="2" t="s">
        <v>161</v>
      </c>
      <c r="G499" s="5" t="str">
        <f>HYPERLINK("http://www8.mpce.mp.br/Empenhos/150501/NE/2024NE000981.pdf","2024NE000981")</f>
        <v>2024NE000981</v>
      </c>
      <c r="H499" s="6">
        <v>680.03</v>
      </c>
      <c r="I499" s="7" t="s">
        <v>219</v>
      </c>
      <c r="J499" s="10" t="s">
        <v>220</v>
      </c>
      <c r="K499" t="str">
        <f>HYPERLINK("http://www8.mpce.mp.br/Empenhos/150001/NE/2024NE000506.pdf","2024NE000506")</f>
        <v>2024NE000506</v>
      </c>
      <c r="L499" s="13">
        <v>6230.5</v>
      </c>
      <c r="M499" t="s">
        <v>414</v>
      </c>
      <c r="N499">
        <v>4566342000124</v>
      </c>
    </row>
    <row r="500" spans="1:14" ht="38.25" x14ac:dyDescent="0.25">
      <c r="A500" s="12" t="s">
        <v>9</v>
      </c>
      <c r="B500" s="2" t="s">
        <v>775</v>
      </c>
      <c r="C500" s="3" t="str">
        <f>HYPERLINK("https://transparencia-area-fim.mpce.mp.br/#/consulta/processo/pastadigital/092023000293915","09.2023.00029391-5")</f>
        <v>09.2023.00029391-5</v>
      </c>
      <c r="D500" s="4">
        <v>45567</v>
      </c>
      <c r="E500" s="16" t="str">
        <f>HYPERLINK("https://www8.mpce.mp.br/Empenhos/150001/Objeto/54-2023.pdf","EMPENHO REF. ALUGUEL DO IMÓVEL ONDE FUNCIONA O GALPÃO DO ALMOXARIFADO E PATRIMÔNIO DA PGJ, CONF. CONTRATO 054/2023, REF. OUT/2024, POR ESTIMATIVA.")</f>
        <v>EMPENHO REF. ALUGUEL DO IMÓVEL ONDE FUNCIONA O GALPÃO DO ALMOXARIFADO E PATRIMÔNIO DA PGJ, CONF. CONTRATO 054/2023, REF. OUT/2024, POR ESTIMATIVA.</v>
      </c>
      <c r="F500" s="2" t="s">
        <v>116</v>
      </c>
      <c r="G500" s="5" t="str">
        <f>HYPERLINK("http://www8.mpce.mp.br/Empenhos/150501/NE/2024NE000982.pdf","2024NE000982")</f>
        <v>2024NE000982</v>
      </c>
      <c r="H500" s="6">
        <v>22000</v>
      </c>
      <c r="I500" s="7" t="s">
        <v>153</v>
      </c>
      <c r="J500" s="10" t="s">
        <v>154</v>
      </c>
      <c r="K500" t="str">
        <f>HYPERLINK("http://www8.mpce.mp.br/Empenhos/150501/NE/2024NE000506.pdf","2024NE000506")</f>
        <v>2024NE000506</v>
      </c>
      <c r="L500" s="13">
        <v>16670.400000000001</v>
      </c>
      <c r="M500" t="s">
        <v>511</v>
      </c>
      <c r="N500">
        <v>33372251006600</v>
      </c>
    </row>
    <row r="501" spans="1:14" ht="51" x14ac:dyDescent="0.25">
      <c r="A501" s="12" t="s">
        <v>34</v>
      </c>
      <c r="B501" s="2" t="s">
        <v>776</v>
      </c>
      <c r="C501" s="3" t="str">
        <f>HYPERLINK("https://transparencia-area-fim.mpce.mp.br/#/consulta/processo/pastadigital/092022000343840","09.2022.00034384-0")</f>
        <v>09.2022.00034384-0</v>
      </c>
      <c r="D501" s="4">
        <v>45567</v>
      </c>
      <c r="E501" s="16" t="str">
        <f>HYPERLINK("https://www8.mpce.mp.br/Empenhos/150001/Objeto/11-2023.pdf","EMPENHO REF. ALUGUEL DE IMÓVEL ONDE FUNCIONA SEDE DE PROMOTORIAS DE JUSTIÇA DA COMARCA DE SANTA QUITÉRIA, CONF. CONTRATO 011/2023, REF. OUT/2024, POR ESTIMATIVA.")</f>
        <v>EMPENHO REF. ALUGUEL DE IMÓVEL ONDE FUNCIONA SEDE DE PROMOTORIAS DE JUSTIÇA DA COMARCA DE SANTA QUITÉRIA, CONF. CONTRATO 011/2023, REF. OUT/2024, POR ESTIMATIVA.</v>
      </c>
      <c r="F501" s="2" t="s">
        <v>116</v>
      </c>
      <c r="G501" s="5" t="str">
        <f>HYPERLINK("http://www8.mpce.mp.br/Empenhos/150501/NE/2024NE000983.pdf","2024NE000983")</f>
        <v>2024NE000983</v>
      </c>
      <c r="H501" s="6">
        <v>13200</v>
      </c>
      <c r="I501" s="7" t="s">
        <v>238</v>
      </c>
      <c r="J501" s="10" t="s">
        <v>239</v>
      </c>
      <c r="K501" t="str">
        <f>HYPERLINK("http://www8.mpce.mp.br/Empenhos/150001/NE/2024NE000508.pdf","2024NE000508")</f>
        <v>2024NE000508</v>
      </c>
      <c r="L501" s="13">
        <v>5400</v>
      </c>
      <c r="M501" t="s">
        <v>417</v>
      </c>
      <c r="N501">
        <v>11517150000193</v>
      </c>
    </row>
    <row r="502" spans="1:14" ht="51" x14ac:dyDescent="0.25">
      <c r="A502" s="12" t="s">
        <v>34</v>
      </c>
      <c r="B502" s="2" t="s">
        <v>768</v>
      </c>
      <c r="C502" s="3" t="str">
        <f>HYPERLINK("https://transparencia-area-fim.mpce.mp.br/#/consulta/processo/pastadigital/092022000343818","09.2022.00034381-8")</f>
        <v>09.2022.00034381-8</v>
      </c>
      <c r="D502" s="4">
        <v>45567</v>
      </c>
      <c r="E502" s="16" t="str">
        <f>HYPERLINK("https://www8.mpce.mp.br/Empenhos/150001/Objeto/24-2023.pdf","EMPENHO REF. ALUGUEL DE IMÓVEL ONDE FUNCIONA SEDE DE PROMOTORIAS DE JUSTIÇA DA COMARCA DE ITAPIPOCA, CONF. CONTRATO 024/2023, REF. OUT/2024, POR ESTIMATIVA.")</f>
        <v>EMPENHO REF. ALUGUEL DE IMÓVEL ONDE FUNCIONA SEDE DE PROMOTORIAS DE JUSTIÇA DA COMARCA DE ITAPIPOCA, CONF. CONTRATO 024/2023, REF. OUT/2024, POR ESTIMATIVA.</v>
      </c>
      <c r="F502" s="2" t="s">
        <v>116</v>
      </c>
      <c r="G502" s="5" t="str">
        <f>HYPERLINK("http://www8.mpce.mp.br/Empenhos/150501/NE/2024NE000984.pdf","2024NE000984")</f>
        <v>2024NE000984</v>
      </c>
      <c r="H502" s="6">
        <v>18000</v>
      </c>
      <c r="I502" s="7" t="s">
        <v>240</v>
      </c>
      <c r="J502" s="10" t="s">
        <v>241</v>
      </c>
      <c r="K502" t="str">
        <f>HYPERLINK("http://www8.mpce.mp.br/Empenhos/150501/NE/2024NE000515.pdf","2024NE000515")</f>
        <v>2024NE000515</v>
      </c>
      <c r="L502">
        <v>170.18</v>
      </c>
      <c r="M502" t="s">
        <v>179</v>
      </c>
      <c r="N502">
        <v>77748638349</v>
      </c>
    </row>
    <row r="503" spans="1:14" ht="51" x14ac:dyDescent="0.25">
      <c r="A503" s="12" t="s">
        <v>34</v>
      </c>
      <c r="B503" s="2" t="s">
        <v>768</v>
      </c>
      <c r="C503" s="3" t="str">
        <f>HYPERLINK("https://transparencia-area-fim.mpce.mp.br/#/consulta/processo/pastadigital/092022000343829","09.2022.00034382-9")</f>
        <v>09.2022.00034382-9</v>
      </c>
      <c r="D503" s="4">
        <v>45567</v>
      </c>
      <c r="E503" s="16" t="str">
        <f>HYPERLINK("https://www8.mpce.mp.br/Empenhos/150001/Objeto/10-2023.pdf","EMPENHO REF. ALUGUEL DE IMÓVEL ONDE FUNCIONA SEDE DE PROMOTORIAS DE JUSTIÇA DA COMARCA DE ITAPAJÉ , CONF. CONTRATO 010/2023, REF. OUT/2024, POR ESTIMATIVA.")</f>
        <v>EMPENHO REF. ALUGUEL DE IMÓVEL ONDE FUNCIONA SEDE DE PROMOTORIAS DE JUSTIÇA DA COMARCA DE ITAPAJÉ , CONF. CONTRATO 010/2023, REF. OUT/2024, POR ESTIMATIVA.</v>
      </c>
      <c r="F503" s="2" t="s">
        <v>116</v>
      </c>
      <c r="G503" s="5" t="str">
        <f>HYPERLINK("http://www8.mpce.mp.br/Empenhos/150501/NE/2024NE000985.pdf","2024NE000985")</f>
        <v>2024NE000985</v>
      </c>
      <c r="H503" s="6">
        <v>13612</v>
      </c>
      <c r="I503" s="7" t="s">
        <v>129</v>
      </c>
      <c r="J503" s="10" t="s">
        <v>130</v>
      </c>
      <c r="K503" t="str">
        <f>HYPERLINK("http://www8.mpce.mp.br/Empenhos/150501/NE/2024NE000523.pdf","2024NE000523")</f>
        <v>2024NE000523</v>
      </c>
      <c r="L503">
        <v>938.24</v>
      </c>
      <c r="M503" t="s">
        <v>205</v>
      </c>
      <c r="N503">
        <v>34123367852</v>
      </c>
    </row>
    <row r="504" spans="1:14" ht="38.25" x14ac:dyDescent="0.25">
      <c r="A504" s="12" t="s">
        <v>34</v>
      </c>
      <c r="B504" s="2" t="s">
        <v>768</v>
      </c>
      <c r="C504" s="3" t="str">
        <f>HYPERLINK("https://transparencia-area-fim.mpce.mp.br/#/consulta/processo/pastadigital/092022000343751","09.2022.00034375-1")</f>
        <v>09.2022.00034375-1</v>
      </c>
      <c r="D504" s="4">
        <v>45567</v>
      </c>
      <c r="E504" s="16" t="str">
        <f>HYPERLINK("https://www8.mpce.mp.br/Empenhos/150001/Objeto/08-2023.pdf","EMPENHO REF. ALUGUEL DE IMÓVEL ONDE FUNCIONA A SEDE DE PROMOTORIAS DE JUSTIÇA DE QUIXERAMOBIM, CONF. CONTRATO 008/2023, REF. OUT, POR ESTIMATIVA.")</f>
        <v>EMPENHO REF. ALUGUEL DE IMÓVEL ONDE FUNCIONA A SEDE DE PROMOTORIAS DE JUSTIÇA DE QUIXERAMOBIM, CONF. CONTRATO 008/2023, REF. OUT, POR ESTIMATIVA.</v>
      </c>
      <c r="F504" s="2" t="s">
        <v>116</v>
      </c>
      <c r="G504" s="5" t="str">
        <f>HYPERLINK("http://www8.mpce.mp.br/Empenhos/150501/NE/2024NE000986.pdf","2024NE000986")</f>
        <v>2024NE000986</v>
      </c>
      <c r="H504" s="6">
        <v>14180</v>
      </c>
      <c r="I504" s="7" t="s">
        <v>129</v>
      </c>
      <c r="J504" s="10" t="s">
        <v>130</v>
      </c>
      <c r="K504" t="str">
        <f>HYPERLINK("http://www8.mpce.mp.br/Empenhos/150501/NE/2024NE000524.pdf","2024NE000524")</f>
        <v>2024NE000524</v>
      </c>
      <c r="L504" s="13">
        <v>71437.03</v>
      </c>
      <c r="M504" t="s">
        <v>244</v>
      </c>
      <c r="N504">
        <v>3773788000167</v>
      </c>
    </row>
    <row r="505" spans="1:14" ht="51" x14ac:dyDescent="0.25">
      <c r="A505" s="12" t="s">
        <v>34</v>
      </c>
      <c r="B505" s="2" t="s">
        <v>334</v>
      </c>
      <c r="C505" s="3" t="str">
        <f>HYPERLINK("https://transparencia-area-fim.mpce.mp.br/#/consulta/processo/pastadigital/092022000343795","09.2022.00034379-5")</f>
        <v>09.2022.00034379-5</v>
      </c>
      <c r="D505" s="4">
        <v>45567</v>
      </c>
      <c r="E505" s="16" t="str">
        <f>HYPERLINK("https://www8.mpce.mp.br/Empenhos/150001/Objeto/25-2023.pdf","EMPENHO REF. ALUGUEL DE IMÓVEL ONDE FUNCIONA SEDE DE PROMOTORIAS DE JUSTIÇA DA COMARCA DE CANINDÉ, CONF. CONTRATO 025/2023, REF. OUT/2024, POR ESTIMATIVA.")</f>
        <v>EMPENHO REF. ALUGUEL DE IMÓVEL ONDE FUNCIONA SEDE DE PROMOTORIAS DE JUSTIÇA DA COMARCA DE CANINDÉ, CONF. CONTRATO 025/2023, REF. OUT/2024, POR ESTIMATIVA.</v>
      </c>
      <c r="F505" s="2" t="s">
        <v>116</v>
      </c>
      <c r="G505" s="5" t="str">
        <f>HYPERLINK("http://www8.mpce.mp.br/Empenhos/150501/NE/2024NE000987.pdf","2024NE000987")</f>
        <v>2024NE000987</v>
      </c>
      <c r="H505" s="6">
        <v>14000</v>
      </c>
      <c r="I505" s="7" t="s">
        <v>234</v>
      </c>
      <c r="J505" s="10" t="s">
        <v>235</v>
      </c>
      <c r="K505" t="str">
        <f>HYPERLINK("http://www8.mpce.mp.br/Empenhos/150501/NE/2024NE000524.pdf","2024NE000524")</f>
        <v>2024NE000524</v>
      </c>
      <c r="L505" s="13">
        <v>71437.03</v>
      </c>
      <c r="M505" t="s">
        <v>244</v>
      </c>
      <c r="N505">
        <v>3773788000167</v>
      </c>
    </row>
    <row r="506" spans="1:14" ht="51" x14ac:dyDescent="0.25">
      <c r="A506" s="12" t="s">
        <v>34</v>
      </c>
      <c r="B506" s="2" t="s">
        <v>334</v>
      </c>
      <c r="C506" s="3" t="str">
        <f>HYPERLINK("http://www8.mpce.mp.br/Dispensa/4503020176.pdf","45030/2017-6")</f>
        <v>45030/2017-6</v>
      </c>
      <c r="D506" s="4">
        <v>45565</v>
      </c>
      <c r="E506" s="16" t="str">
        <f>HYPERLINK("https://www8.mpce.mp.br/Empenhos/150001/Objeto/74-2019.pdf","EMPENHO. REF. ALUGUEL DE IMÓVEL ONDE FUNCIONA SEDE DE PROMOTORIAS DE JUSTIÇA DA COMARCA DE GRANJA, CONF. CONTRATO 074/2019, REF. OUT/2024, POR ESTIMATIVA.")</f>
        <v>EMPENHO. REF. ALUGUEL DE IMÓVEL ONDE FUNCIONA SEDE DE PROMOTORIAS DE JUSTIÇA DA COMARCA DE GRANJA, CONF. CONTRATO 074/2019, REF. OUT/2024, POR ESTIMATIVA.</v>
      </c>
      <c r="F506" s="2" t="s">
        <v>161</v>
      </c>
      <c r="G506" s="5" t="str">
        <f>HYPERLINK("http://www8.mpce.mp.br/Empenhos/150501/NE/2024NE000988.pdf","2024NE000988")</f>
        <v>2024NE000988</v>
      </c>
      <c r="H506" s="6">
        <v>2188.0100000000002</v>
      </c>
      <c r="I506" s="7" t="s">
        <v>236</v>
      </c>
      <c r="J506" s="10" t="s">
        <v>237</v>
      </c>
      <c r="K506" t="str">
        <f>HYPERLINK("http://www8.mpce.mp.br/Empenhos/150501/NE/2024NE000524.pdf","2024NE000524")</f>
        <v>2024NE000524</v>
      </c>
      <c r="L506" s="13">
        <v>71437.03</v>
      </c>
      <c r="M506" t="s">
        <v>244</v>
      </c>
      <c r="N506">
        <v>3773788000167</v>
      </c>
    </row>
    <row r="507" spans="1:14" ht="51" x14ac:dyDescent="0.25">
      <c r="A507" s="12" t="s">
        <v>34</v>
      </c>
      <c r="B507" s="2" t="s">
        <v>768</v>
      </c>
      <c r="C507" s="3" t="str">
        <f>HYPERLINK("http://www8.mpce.mp.br/Dispensa/2150720189.pdf","21507/2018-9")</f>
        <v>21507/2018-9</v>
      </c>
      <c r="D507" s="4">
        <v>45565</v>
      </c>
      <c r="E507" s="16" t="str">
        <f>HYPERLINK("https://www8.mpce.mp.br/Empenhos/150001/Objeto/51-2019.pdf","EMPENHO REF. ALUGUEL DE IMÓVEL QUE ABRIGA SEDE DE PROMOTORIAS DE JUSTIÇA DA COMARCA DE VIÇOSA DO CEARÁ, CONF. CONTRATO 051/2019, REF. OUT/2024, POR ESTIMATIVA.")</f>
        <v>EMPENHO REF. ALUGUEL DE IMÓVEL QUE ABRIGA SEDE DE PROMOTORIAS DE JUSTIÇA DA COMARCA DE VIÇOSA DO CEARÁ, CONF. CONTRATO 051/2019, REF. OUT/2024, POR ESTIMATIVA.</v>
      </c>
      <c r="F507" s="2" t="s">
        <v>161</v>
      </c>
      <c r="G507" s="5" t="str">
        <f>HYPERLINK("http://www8.mpce.mp.br/Empenhos/150501/NE/2024NE001002.pdf","2024NE001002")</f>
        <v>2024NE001002</v>
      </c>
      <c r="H507" s="6">
        <v>2935.71</v>
      </c>
      <c r="I507" s="7" t="s">
        <v>179</v>
      </c>
      <c r="J507" s="10" t="s">
        <v>180</v>
      </c>
      <c r="K507" t="str">
        <f>HYPERLINK("http://www8.mpce.mp.br/Empenhos/150501/NE/2024NE000524.pdf","2024NE000524")</f>
        <v>2024NE000524</v>
      </c>
      <c r="L507" s="13">
        <v>71437.03</v>
      </c>
      <c r="M507" t="s">
        <v>244</v>
      </c>
      <c r="N507">
        <v>3773788000167</v>
      </c>
    </row>
    <row r="508" spans="1:14" ht="51" x14ac:dyDescent="0.25">
      <c r="A508" s="12" t="s">
        <v>34</v>
      </c>
      <c r="B508" s="2" t="s">
        <v>768</v>
      </c>
      <c r="C508" s="3" t="str">
        <f>HYPERLINK("http://www8.mpce.mp.br/Dispensa/1320920133.pdf","13209/2013-3")</f>
        <v>13209/2013-3</v>
      </c>
      <c r="D508" s="4">
        <v>45565</v>
      </c>
      <c r="E508" s="16" t="str">
        <f>HYPERLINK("https://www8.mpce.mp.br/Empenhos/150001/Objeto/43-2013.pdf","EMPENHO REF. ALUGUEL DE IMÓVEL ONDE FUNCIONA SEDE DE PROMOTORIAS DE JUSTIÇA DA COMARCA DE MORADA NOVA, CONF. CONTRATO 043/2013, REF. OUT/2024, POR ESTIMATIVA.")</f>
        <v>EMPENHO REF. ALUGUEL DE IMÓVEL ONDE FUNCIONA SEDE DE PROMOTORIAS DE JUSTIÇA DA COMARCA DE MORADA NOVA, CONF. CONTRATO 043/2013, REF. OUT/2024, POR ESTIMATIVA.</v>
      </c>
      <c r="F508" s="2" t="s">
        <v>161</v>
      </c>
      <c r="G508" s="5" t="str">
        <f>HYPERLINK("http://www8.mpce.mp.br/Empenhos/150501/NE/2024NE001027.pdf","2024NE001027")</f>
        <v>2024NE001027</v>
      </c>
      <c r="H508" s="6">
        <v>8150.28</v>
      </c>
      <c r="I508" s="7" t="s">
        <v>177</v>
      </c>
      <c r="J508" s="10" t="s">
        <v>178</v>
      </c>
      <c r="K508" t="str">
        <f>HYPERLINK("http://www8.mpce.mp.br/Empenhos/150001/NE/2024NE000528.pdf","2024NE000528")</f>
        <v>2024NE000528</v>
      </c>
      <c r="L508" s="13">
        <v>3479</v>
      </c>
      <c r="M508" t="s">
        <v>421</v>
      </c>
      <c r="N508">
        <v>51739136000159</v>
      </c>
    </row>
    <row r="509" spans="1:14" ht="51" x14ac:dyDescent="0.25">
      <c r="A509" s="12" t="s">
        <v>34</v>
      </c>
      <c r="B509" s="2" t="s">
        <v>768</v>
      </c>
      <c r="C509" s="3" t="str">
        <f>HYPERLINK("http://www8.mpce.mp.br/Dispensa/146020136.pdf","1460/2013-6")</f>
        <v>1460/2013-6</v>
      </c>
      <c r="D509" s="4">
        <v>45565</v>
      </c>
      <c r="E509" s="16" t="str">
        <f>HYPERLINK("https://www8.mpce.mp.br/Empenhos/150001/Objeto/39-2013.pdf","EMPENHO REF. ALUGUEL DE IMÓVEL ONDE FUNCIONA SEDE DE PROMOTORIAS DE JUSTIÇA DA COMARCA DE CASCAVEL, CONF. CONTRATO 039/2013, REF. OUT/2024, POR ESTIMATIVA.")</f>
        <v>EMPENHO REF. ALUGUEL DE IMÓVEL ONDE FUNCIONA SEDE DE PROMOTORIAS DE JUSTIÇA DA COMARCA DE CASCAVEL, CONF. CONTRATO 039/2013, REF. OUT/2024, POR ESTIMATIVA.</v>
      </c>
      <c r="F509" s="2" t="s">
        <v>161</v>
      </c>
      <c r="G509" s="5" t="str">
        <f>HYPERLINK("http://www8.mpce.mp.br/Empenhos/150501/NE/2024NE001028.pdf","2024NE001028")</f>
        <v>2024NE001028</v>
      </c>
      <c r="H509" s="6">
        <v>4341.5600000000004</v>
      </c>
      <c r="I509" s="7" t="s">
        <v>232</v>
      </c>
      <c r="J509" s="10" t="s">
        <v>233</v>
      </c>
      <c r="K509" t="str">
        <f>HYPERLINK("http://www8.mpce.mp.br/Empenhos/150001/NE/2024NE000529.pdf","2024NE000529")</f>
        <v>2024NE000529</v>
      </c>
      <c r="L509" s="13">
        <v>31055</v>
      </c>
      <c r="M509" t="s">
        <v>424</v>
      </c>
      <c r="N509">
        <v>7341423000114</v>
      </c>
    </row>
    <row r="510" spans="1:14" ht="51" x14ac:dyDescent="0.25">
      <c r="A510" s="12" t="s">
        <v>34</v>
      </c>
      <c r="B510" s="2" t="s">
        <v>768</v>
      </c>
      <c r="C510" s="3" t="str">
        <f>HYPERLINK("http://www8.mpce.mp.br/Dispensa/2887720171.pdf","28877/2017-1")</f>
        <v>28877/2017-1</v>
      </c>
      <c r="D510" s="4">
        <v>45565</v>
      </c>
      <c r="E510" s="16" t="str">
        <f>HYPERLINK("https://www8.mpce.mp.br/Empenhos/150001/Objeto/24-2019.pdf","EMPENHO REF. ALUGUEL DE IMÓVEL ONDE FUNCIONA SEDE DE PROMOTORIAS DE JUSTIÇA DA COMARCA DE JAGUARIBE-CE, CONF. CONTRATO 024/2019, REF. OUT/2024, POR ESTIMATIVA.")</f>
        <v>EMPENHO REF. ALUGUEL DE IMÓVEL ONDE FUNCIONA SEDE DE PROMOTORIAS DE JUSTIÇA DA COMARCA DE JAGUARIBE-CE, CONF. CONTRATO 024/2019, REF. OUT/2024, POR ESTIMATIVA.</v>
      </c>
      <c r="F510" s="2" t="s">
        <v>116</v>
      </c>
      <c r="G510" s="5" t="str">
        <f>HYPERLINK("http://www8.mpce.mp.br/Empenhos/150501/NE/2024NE001029.pdf","2024NE001029")</f>
        <v>2024NE001029</v>
      </c>
      <c r="H510" s="6">
        <v>1431.35</v>
      </c>
      <c r="I510" s="7" t="s">
        <v>140</v>
      </c>
      <c r="J510" s="10" t="s">
        <v>141</v>
      </c>
      <c r="K510" t="str">
        <f>HYPERLINK("http://www8.mpce.mp.br/Empenhos/150501/NE/2024NE000534.pdf","2024NE000534")</f>
        <v>2024NE000534</v>
      </c>
      <c r="L510" s="13">
        <v>14000</v>
      </c>
      <c r="M510" t="s">
        <v>234</v>
      </c>
      <c r="N510">
        <v>29417319000107</v>
      </c>
    </row>
    <row r="511" spans="1:14" ht="51" x14ac:dyDescent="0.25">
      <c r="A511" s="12" t="s">
        <v>34</v>
      </c>
      <c r="B511" s="2" t="s">
        <v>768</v>
      </c>
      <c r="C511" s="3" t="str">
        <f>HYPERLINK("http://www8.mpce.mp.br/Dispensa/575920103.pdf","5759/2010-3")</f>
        <v>5759/2010-3</v>
      </c>
      <c r="D511" s="4">
        <v>45565</v>
      </c>
      <c r="E511" s="16" t="str">
        <f>HYPERLINK("https://www8.mpce.mp.br/Empenhos/150001/Objeto/22-2010.pdf","EMPENHO REF. ALUGUEL DE IMÓVEL SITUADO EM GUAIÚBA-CE, ONDE FUNCIONA SEDE DE PROMOTORIAS DE JUSTIÇA DAQUELA COMARCA, CONF. CONTRATO 022/2010, REF. OUT/2024, POR ESTIMATIVA.")</f>
        <v>EMPENHO REF. ALUGUEL DE IMÓVEL SITUADO EM GUAIÚBA-CE, ONDE FUNCIONA SEDE DE PROMOTORIAS DE JUSTIÇA DAQUELA COMARCA, CONF. CONTRATO 022/2010, REF. OUT/2024, POR ESTIMATIVA.</v>
      </c>
      <c r="F511" s="2" t="s">
        <v>161</v>
      </c>
      <c r="G511" s="5" t="str">
        <f>HYPERLINK("http://www8.mpce.mp.br/Empenhos/150501/NE/2024NE001030.pdf","2024NE001030")</f>
        <v>2024NE001030</v>
      </c>
      <c r="H511" s="6">
        <v>2341.9699999999998</v>
      </c>
      <c r="I511" s="7" t="s">
        <v>211</v>
      </c>
      <c r="J511" s="10" t="s">
        <v>212</v>
      </c>
      <c r="K511" t="str">
        <f>HYPERLINK("http://www8.mpce.mp.br/Empenhos/150501/NE/2024NE000535.pdf","2024NE000535")</f>
        <v>2024NE000535</v>
      </c>
      <c r="L511" s="13">
        <v>13200</v>
      </c>
      <c r="M511" t="s">
        <v>238</v>
      </c>
      <c r="N511">
        <v>44231385000173</v>
      </c>
    </row>
    <row r="512" spans="1:14" ht="51" x14ac:dyDescent="0.25">
      <c r="A512" s="12" t="s">
        <v>9</v>
      </c>
      <c r="B512" s="2" t="s">
        <v>777</v>
      </c>
      <c r="C512" s="3" t="str">
        <f>HYPERLINK("https://transparencia-area-fim.mpce.mp.br/#/consulta/processo/pastadigital/092023000214163","09.2023.00021416-3")</f>
        <v>09.2023.00021416-3</v>
      </c>
      <c r="D512" s="4">
        <v>45565</v>
      </c>
      <c r="E512" s="16" t="str">
        <f>HYPERLINK("https://www8.mpce.mp.br/Empenhos/150001/Objeto/56-2023.pdf","EMPENHO REF. ALUGUEL DO IMÓVEL ONDE FUNCIONA SEDE DE PROMOTORIAS DE JUSTIÇA DA COMARCA DE BATURITÉ, CONF. CONTRATO 056/2023, REF. OUT/2024, POR ESTIMATIVA.")</f>
        <v>EMPENHO REF. ALUGUEL DO IMÓVEL ONDE FUNCIONA SEDE DE PROMOTORIAS DE JUSTIÇA DA COMARCA DE BATURITÉ, CONF. CONTRATO 056/2023, REF. OUT/2024, POR ESTIMATIVA.</v>
      </c>
      <c r="F512" s="2" t="s">
        <v>116</v>
      </c>
      <c r="G512" s="5" t="str">
        <f>HYPERLINK("http://www8.mpce.mp.br/Empenhos/150501/NE/2024NE001031.pdf","2024NE001031")</f>
        <v>2024NE001031</v>
      </c>
      <c r="H512" s="6">
        <v>5400</v>
      </c>
      <c r="I512" s="7" t="s">
        <v>156</v>
      </c>
      <c r="J512" s="10" t="s">
        <v>157</v>
      </c>
      <c r="K512" t="str">
        <f>HYPERLINK("http://www8.mpce.mp.br/Empenhos/150501/NE/2024NE000536.pdf","2024NE000536")</f>
        <v>2024NE000536</v>
      </c>
      <c r="L512" s="13">
        <v>18000</v>
      </c>
      <c r="M512" t="s">
        <v>240</v>
      </c>
      <c r="N512">
        <v>48444032000102</v>
      </c>
    </row>
    <row r="513" spans="1:14" ht="51" x14ac:dyDescent="0.25">
      <c r="A513" s="12" t="s">
        <v>9</v>
      </c>
      <c r="B513" s="2" t="s">
        <v>775</v>
      </c>
      <c r="C513" s="3" t="str">
        <f>HYPERLINK("https://transparencia-area-fim.mpce.mp.br/#/consulta/processo/pastadigital/092024000173970","09.2024.00017397-0")</f>
        <v>09.2024.00017397-0</v>
      </c>
      <c r="D513" s="4">
        <v>45565</v>
      </c>
      <c r="E513" s="16" t="str">
        <f>HYPERLINK("https://www8.mpce.mp.br/Empenhos/150001/Objeto/44-2024.pdf","EMPENHO REF. ALUGUEL DE IMÓVEL SITUADO EM ACARAÚ-CE, ONDE FUNCIONA SEDE DE PROMOTORIAS DE JUSTIÇA DAQUELA COMARCA, CONF. CONTRATO 044/2024, REF. OUT/2024, POR ESTIMATIVA.")</f>
        <v>EMPENHO REF. ALUGUEL DE IMÓVEL SITUADO EM ACARAÚ-CE, ONDE FUNCIONA SEDE DE PROMOTORIAS DE JUSTIÇA DAQUELA COMARCA, CONF. CONTRATO 044/2024, REF. OUT/2024, POR ESTIMATIVA.</v>
      </c>
      <c r="F513" s="2" t="s">
        <v>116</v>
      </c>
      <c r="G513" s="5" t="str">
        <f>HYPERLINK("http://www8.mpce.mp.br/Empenhos/150501/NE/2024NE001032.pdf","2024NE001032")</f>
        <v>2024NE001032</v>
      </c>
      <c r="H513" s="6">
        <v>3403.88</v>
      </c>
      <c r="I513" s="7" t="s">
        <v>686</v>
      </c>
      <c r="J513" s="10" t="s">
        <v>857</v>
      </c>
      <c r="K513" t="str">
        <f>HYPERLINK("http://www8.mpce.mp.br/Empenhos/150501/NE/2024NE000537.pdf","2024NE000537")</f>
        <v>2024NE000537</v>
      </c>
      <c r="L513" s="13">
        <v>14180</v>
      </c>
      <c r="M513" t="s">
        <v>129</v>
      </c>
      <c r="N513">
        <v>32697604000125</v>
      </c>
    </row>
    <row r="514" spans="1:14" ht="51" x14ac:dyDescent="0.25">
      <c r="A514" s="12" t="s">
        <v>9</v>
      </c>
      <c r="B514" s="2" t="s">
        <v>775</v>
      </c>
      <c r="C514" s="3" t="str">
        <f>HYPERLINK("https://transparencia-area-fim.mpce.mp.br/#/consulta/processo/pastadigital/092022000371847","09.2022.00037184-7")</f>
        <v>09.2022.00037184-7</v>
      </c>
      <c r="D514" s="4">
        <v>45565</v>
      </c>
      <c r="E514" s="16" t="str">
        <f>HYPERLINK("https://www8.mpce.mp.br/Empenhos/150001/Objeto/44-2023.pdf","EMPENHO REF. ALUGUEL DE IMÓVEL ONDE FUNCIONA SEDE DE PROMOTORIAS DE JUSTIÇA DA COMARCA DE MARCO, CONF. CONTRATO 044/2023, REF. OUT/2024, POR ESTIMATIVA.")</f>
        <v>EMPENHO REF. ALUGUEL DE IMÓVEL ONDE FUNCIONA SEDE DE PROMOTORIAS DE JUSTIÇA DA COMARCA DE MARCO, CONF. CONTRATO 044/2023, REF. OUT/2024, POR ESTIMATIVA.</v>
      </c>
      <c r="F514" s="2" t="s">
        <v>161</v>
      </c>
      <c r="G514" s="5" t="str">
        <f>HYPERLINK("http://www8.mpce.mp.br/Empenhos/150501/NE/2024NE001033.pdf","2024NE001033")</f>
        <v>2024NE001033</v>
      </c>
      <c r="H514" s="6">
        <v>1200</v>
      </c>
      <c r="I514" s="7" t="s">
        <v>182</v>
      </c>
      <c r="J514" s="10" t="s">
        <v>183</v>
      </c>
      <c r="K514" t="str">
        <f>HYPERLINK("http://www8.mpce.mp.br/Empenhos/150501/NE/2024NE000538.pdf","2024NE000538")</f>
        <v>2024NE000538</v>
      </c>
      <c r="L514" s="13">
        <v>13612</v>
      </c>
      <c r="M514" t="s">
        <v>129</v>
      </c>
      <c r="N514">
        <v>32697604000125</v>
      </c>
    </row>
    <row r="515" spans="1:14" ht="51" x14ac:dyDescent="0.25">
      <c r="A515" s="12" t="s">
        <v>34</v>
      </c>
      <c r="B515" s="2" t="s">
        <v>768</v>
      </c>
      <c r="C515" s="3" t="str">
        <f>HYPERLINK("http://www8.mpce.mp.br/Dispensa/842220170.pdf","8422/20170")</f>
        <v>8422/20170</v>
      </c>
      <c r="D515" s="4">
        <v>45552</v>
      </c>
      <c r="E515" s="16" t="str">
        <f>HYPERLINK("https://www8.mpce.mp.br/Empenhos/150001/Objeto/16-2017.pdf","EMPENHO REF. REEMBOLSO DE TAXA DE LIXO-TMRSU DE IMÓVEL ONDE FUNCIONA SEDE DE PROMOTORIAS DE JUSTIÇA CRIMINAIS DE FORTALEZA, CONF. CONTRATO 016/2017, REF. 2024 - 9ª PARCELA.")</f>
        <v>EMPENHO REF. REEMBOLSO DE TAXA DE LIXO-TMRSU DE IMÓVEL ONDE FUNCIONA SEDE DE PROMOTORIAS DE JUSTIÇA CRIMINAIS DE FORTALEZA, CONF. CONTRATO 016/2017, REF. 2024 - 9ª PARCELA.</v>
      </c>
      <c r="F515" s="2" t="s">
        <v>252</v>
      </c>
      <c r="G515" s="5" t="str">
        <f>HYPERLINK("http://www8.mpce.mp.br/Empenhos/150501/NE/2024NE001035.pdf","2024NE001035")</f>
        <v>2024NE001035</v>
      </c>
      <c r="H515" s="6">
        <v>152.32</v>
      </c>
      <c r="I515" s="7" t="s">
        <v>158</v>
      </c>
      <c r="J515" s="10" t="s">
        <v>159</v>
      </c>
      <c r="K515" t="str">
        <f>HYPERLINK("http://www8.mpce.mp.br/Empenhos/150501/NE/2024NE000539.pdf","2024NE000539")</f>
        <v>2024NE000539</v>
      </c>
      <c r="L515" s="13">
        <v>66161.41</v>
      </c>
      <c r="M515" t="s">
        <v>132</v>
      </c>
      <c r="N515">
        <v>11710431000168</v>
      </c>
    </row>
    <row r="516" spans="1:14" ht="51" x14ac:dyDescent="0.25">
      <c r="A516" s="12" t="s">
        <v>34</v>
      </c>
      <c r="B516" s="2" t="s">
        <v>768</v>
      </c>
      <c r="C516" s="3" t="str">
        <f>HYPERLINK("http://www8.mpce.mp.br/Dispensa/842220170.pdf","8422/20170")</f>
        <v>8422/20170</v>
      </c>
      <c r="D516" s="4">
        <v>45552</v>
      </c>
      <c r="E516" s="16" t="str">
        <f>HYPERLINK("https://www8.mpce.mp.br/Empenhos/150001/Objeto/16-2017.pdf","EMPENHO REF. REEMBOLSO DE IPTU DE IMÓVEL ONDE FUNCIONA SEDE DE PROMOTORIAS DE JUSTIÇA CRIMINAIS DE FORTALEZA, CONF. CONTRATO 016/2017, REF. 2024 - 9ª PARCELA.")</f>
        <v>EMPENHO REF. REEMBOLSO DE IPTU DE IMÓVEL ONDE FUNCIONA SEDE DE PROMOTORIAS DE JUSTIÇA CRIMINAIS DE FORTALEZA, CONF. CONTRATO 016/2017, REF. 2024 - 9ª PARCELA.</v>
      </c>
      <c r="F516" s="2" t="s">
        <v>252</v>
      </c>
      <c r="G516" s="5" t="str">
        <f>HYPERLINK("http://www8.mpce.mp.br/Empenhos/150501/NE/2024NE001036.pdf","2024NE001036")</f>
        <v>2024NE001036</v>
      </c>
      <c r="H516" s="6">
        <v>2619.0100000000002</v>
      </c>
      <c r="I516" s="7" t="s">
        <v>158</v>
      </c>
      <c r="J516" s="10" t="s">
        <v>159</v>
      </c>
      <c r="K516" t="str">
        <f>HYPERLINK("http://www8.mpce.mp.br/Empenhos/150501/NE/2024NE000540.pdf","2024NE000540")</f>
        <v>2024NE000540</v>
      </c>
      <c r="L516" s="13">
        <v>26000.1</v>
      </c>
      <c r="M516" t="s">
        <v>134</v>
      </c>
      <c r="N516">
        <v>44114554000195</v>
      </c>
    </row>
    <row r="517" spans="1:14" ht="38.25" x14ac:dyDescent="0.25">
      <c r="A517" s="12" t="s">
        <v>9</v>
      </c>
      <c r="B517" s="2" t="s">
        <v>778</v>
      </c>
      <c r="C517" s="3" t="str">
        <f>HYPERLINK("https://transparencia-area-fim.mpce.mp.br/#/consulta/processo/pastadigital/092022000083885","09.2022.00008388-5")</f>
        <v>09.2022.00008388-5</v>
      </c>
      <c r="D517" s="4">
        <v>45565</v>
      </c>
      <c r="E517" s="16" t="str">
        <f>HYPERLINK("https://www8.mpce.mp.br/Empenhos/150001/Objeto/36-2023.pdf","ALUGUEL DO MÊS DE OUTUBRO, DO IMÓVEL ONDE FUNCIONAM AS PROMOTORIAS DE JUSTIÇA DA COMARCA DE SOLONÓPOLE, CONF. CONTRATO Nº 036/2023/PGJ")</f>
        <v>ALUGUEL DO MÊS DE OUTUBRO, DO IMÓVEL ONDE FUNCIONAM AS PROMOTORIAS DE JUSTIÇA DA COMARCA DE SOLONÓPOLE, CONF. CONTRATO Nº 036/2023/PGJ</v>
      </c>
      <c r="F517" s="2" t="s">
        <v>161</v>
      </c>
      <c r="G517" s="5" t="str">
        <f>HYPERLINK("http://www8.mpce.mp.br/Empenhos/150501/NE/2024NE001037.pdf","2024NE001037")</f>
        <v>2024NE001037</v>
      </c>
      <c r="H517" s="6">
        <v>3897.24</v>
      </c>
      <c r="I517" s="7" t="s">
        <v>188</v>
      </c>
      <c r="J517" s="10" t="s">
        <v>189</v>
      </c>
      <c r="K517" t="str">
        <f>HYPERLINK("http://www8.mpce.mp.br/Empenhos/150501/NE/2024NE000541.pdf","2024NE000541")</f>
        <v>2024NE000541</v>
      </c>
      <c r="L517" s="13">
        <v>16434.259999999998</v>
      </c>
      <c r="M517" t="s">
        <v>132</v>
      </c>
      <c r="N517">
        <v>11710431000168</v>
      </c>
    </row>
    <row r="518" spans="1:14" ht="38.25" x14ac:dyDescent="0.25">
      <c r="A518" s="12" t="s">
        <v>34</v>
      </c>
      <c r="B518" s="2" t="s">
        <v>779</v>
      </c>
      <c r="C518" s="3" t="str">
        <f>HYPERLINK("https://transparencia-area-fim.mpce.mp.br/#/consulta/processo/pastadigital/092022000110511","09.2022.00011051-1")</f>
        <v>09.2022.00011051-1</v>
      </c>
      <c r="D518" s="4">
        <v>45565</v>
      </c>
      <c r="E518" s="16" t="str">
        <f>HYPERLINK("https://www8.mpce.mp.br/Empenhos/150001/Objeto/38-2022.pdf","ALUGUEL DO MÊS DE OUTUBRO DE 2024, REF. AO IMÓVEL ONDE FUNCIONAM AS PROMOTORIAS DE JUSTIÇA DA COMARCA DE NOVA OLINDA, CONF. CONTRATO Nº 038/2022.")</f>
        <v>ALUGUEL DO MÊS DE OUTUBRO DE 2024, REF. AO IMÓVEL ONDE FUNCIONAM AS PROMOTORIAS DE JUSTIÇA DA COMARCA DE NOVA OLINDA, CONF. CONTRATO Nº 038/2022.</v>
      </c>
      <c r="F518" s="2" t="s">
        <v>161</v>
      </c>
      <c r="G518" s="5" t="str">
        <f>HYPERLINK("http://www8.mpce.mp.br/Empenhos/150501/NE/2024NE001039.pdf","2024NE001039")</f>
        <v>2024NE001039</v>
      </c>
      <c r="H518" s="6">
        <v>2000</v>
      </c>
      <c r="I518" s="7" t="s">
        <v>229</v>
      </c>
      <c r="J518" s="10" t="s">
        <v>230</v>
      </c>
      <c r="K518" t="str">
        <f>HYPERLINK("http://www8.mpce.mp.br/Empenhos/150501/NE/2024NE000542.pdf","2024NE000542")</f>
        <v>2024NE000542</v>
      </c>
      <c r="L518" s="13">
        <v>26000</v>
      </c>
      <c r="M518" t="s">
        <v>175</v>
      </c>
      <c r="N518">
        <v>14763826000117</v>
      </c>
    </row>
    <row r="519" spans="1:14" ht="38.25" x14ac:dyDescent="0.25">
      <c r="A519" s="12" t="s">
        <v>34</v>
      </c>
      <c r="B519" s="2" t="s">
        <v>780</v>
      </c>
      <c r="C519" s="3" t="str">
        <f>HYPERLINK("https://transparencia-area-fim.mpce.mp.br/#/consulta/processo/pastadigital/092022000276145","09.2022.00027614-5")</f>
        <v>09.2022.00027614-5</v>
      </c>
      <c r="D519" s="4">
        <v>45565</v>
      </c>
      <c r="E519" s="16" t="str">
        <f>HYPERLINK("https://www8.mpce.mp.br/Empenhos/150001/Objeto/36-2022.pdf","ALUGUEL DO MÊS DE OUTUBRO DE 2024, RELATIVO AO IMÓVEL ONDE FUNCIONAM AS PROMOTORIAS DE JUSTIÇA DA COMARCA DE ARARIPE, CONF. CONTRATO Nº 036/2022.")</f>
        <v>ALUGUEL DO MÊS DE OUTUBRO DE 2024, RELATIVO AO IMÓVEL ONDE FUNCIONAM AS PROMOTORIAS DE JUSTIÇA DA COMARCA DE ARARIPE, CONF. CONTRATO Nº 036/2022.</v>
      </c>
      <c r="F519" s="2" t="s">
        <v>161</v>
      </c>
      <c r="G519" s="5" t="str">
        <f>HYPERLINK("http://www8.mpce.mp.br/Empenhos/150501/NE/2024NE001043.pdf","2024NE001043")</f>
        <v>2024NE001043</v>
      </c>
      <c r="H519" s="6">
        <v>1500</v>
      </c>
      <c r="I519" s="7" t="s">
        <v>191</v>
      </c>
      <c r="J519" s="10" t="s">
        <v>192</v>
      </c>
      <c r="K519" t="str">
        <f>HYPERLINK("http://www8.mpce.mp.br/Empenhos/150501/NE/2024NE000543.pdf","2024NE000543")</f>
        <v>2024NE000543</v>
      </c>
      <c r="L519" s="13">
        <v>33000</v>
      </c>
      <c r="M519" t="s">
        <v>528</v>
      </c>
      <c r="N519">
        <v>10489713000114</v>
      </c>
    </row>
    <row r="520" spans="1:14" ht="38.25" x14ac:dyDescent="0.25">
      <c r="A520" s="12" t="s">
        <v>34</v>
      </c>
      <c r="B520" s="2" t="s">
        <v>781</v>
      </c>
      <c r="C520" s="3" t="str">
        <f>HYPERLINK("https://transparencia-area-fim.mpce.mp.br/#/consulta/processo/pastadigital/092022000264193","09.2022.00026419-3")</f>
        <v>09.2022.00026419-3</v>
      </c>
      <c r="D520" s="4">
        <v>45565</v>
      </c>
      <c r="E520" s="16" t="str">
        <f>HYPERLINK("https://www8.mpce.mp.br/Empenhos/150001/Objeto/28-2022.pdf","ALUGUEL DO MÊS DE OUTUBRO DE 2024, RELATIVO AO IMÓVEL ONDE FUNCIONAM AS PROMOTORIAS DE JUSTIÇA DA COMARCA DE AURORA, CONF. CONTRATO Nº 028/2022.")</f>
        <v>ALUGUEL DO MÊS DE OUTUBRO DE 2024, RELATIVO AO IMÓVEL ONDE FUNCIONAM AS PROMOTORIAS DE JUSTIÇA DA COMARCA DE AURORA, CONF. CONTRATO Nº 028/2022.</v>
      </c>
      <c r="F520" s="2" t="s">
        <v>161</v>
      </c>
      <c r="G520" s="5" t="str">
        <f>HYPERLINK("http://www8.mpce.mp.br/Empenhos/150501/NE/2024NE001044.pdf","2024NE001044")</f>
        <v>2024NE001044</v>
      </c>
      <c r="H520" s="6">
        <v>2000</v>
      </c>
      <c r="I520" s="7" t="s">
        <v>201</v>
      </c>
      <c r="J520" s="10" t="s">
        <v>202</v>
      </c>
      <c r="K520" t="str">
        <f>HYPERLINK("http://www8.mpce.mp.br/Empenhos/150501/NE/2024NE000544.pdf","2024NE000544")</f>
        <v>2024NE000544</v>
      </c>
      <c r="L520" s="13">
        <v>20900</v>
      </c>
      <c r="M520" t="s">
        <v>129</v>
      </c>
      <c r="N520">
        <v>32697604000125</v>
      </c>
    </row>
    <row r="521" spans="1:14" ht="51" x14ac:dyDescent="0.25">
      <c r="A521" s="12" t="s">
        <v>9</v>
      </c>
      <c r="B521" s="2" t="s">
        <v>769</v>
      </c>
      <c r="C521" s="3" t="str">
        <f>HYPERLINK("http://www8.mpce.mp.br/Inexigibilidade/1045920194.pdf","10459/2019-4")</f>
        <v>10459/2019-4</v>
      </c>
      <c r="D521" s="4">
        <v>45552</v>
      </c>
      <c r="E521" s="16" t="str">
        <f>HYPERLINK("https://www8.mpce.mp.br/Empenhos/150001/Objeto/47-2019.pdf","EMPENHO REF. SERVIÇOS DE COLETA DE LIXO DOMICILIAR, CONF. CONTRATO 047/2019, REF. SET/2024, POR ESTIMATIVA.")</f>
        <v>EMPENHO REF. SERVIÇOS DE COLETA DE LIXO DOMICILIAR, CONF. CONTRATO 047/2019, REF. SET/2024, POR ESTIMATIVA.</v>
      </c>
      <c r="F521" s="2" t="s">
        <v>306</v>
      </c>
      <c r="G521" s="5" t="str">
        <f>HYPERLINK("http://www8.mpce.mp.br/Empenhos/150501/NE/2024NE001045.pdf","2024NE001045")</f>
        <v>2024NE001045</v>
      </c>
      <c r="H521" s="6">
        <v>14907.85</v>
      </c>
      <c r="I521" s="7" t="s">
        <v>254</v>
      </c>
      <c r="J521" s="10" t="s">
        <v>829</v>
      </c>
      <c r="K521" t="str">
        <f>HYPERLINK("http://www8.mpce.mp.br/Empenhos/150501/NE/2024NE000546.pdf","2024NE000546")</f>
        <v>2024NE000546</v>
      </c>
      <c r="L521" s="13">
        <v>18465</v>
      </c>
      <c r="M521" t="s">
        <v>171</v>
      </c>
      <c r="N521">
        <v>7936046000166</v>
      </c>
    </row>
    <row r="522" spans="1:14" ht="51" x14ac:dyDescent="0.25">
      <c r="A522" s="12" t="s">
        <v>9</v>
      </c>
      <c r="B522" s="2" t="s">
        <v>769</v>
      </c>
      <c r="C522" s="3" t="str">
        <f>HYPERLINK("http://www8.mpce.mp.br/Inexigibilidade/1045920194.pdf","10459/2019-4")</f>
        <v>10459/2019-4</v>
      </c>
      <c r="D522" s="4">
        <v>45568</v>
      </c>
      <c r="E522" s="16" t="str">
        <f>HYPERLINK("https://www8.mpce.mp.br/Empenhos/150001/Objeto/47-2019.pdf","EMPENHO REF. SERVIÇOS DE COLETA DE LIXO DOMICILIAR, CONF. CONTRATO 047/2019, REF. OUT/2024, POR ESTIMATIVA.")</f>
        <v>EMPENHO REF. SERVIÇOS DE COLETA DE LIXO DOMICILIAR, CONF. CONTRATO 047/2019, REF. OUT/2024, POR ESTIMATIVA.</v>
      </c>
      <c r="F522" s="2" t="s">
        <v>306</v>
      </c>
      <c r="G522" s="5" t="str">
        <f>HYPERLINK("http://www8.mpce.mp.br/Empenhos/150501/NE/2024NE001046.pdf","2024NE001046")</f>
        <v>2024NE001046</v>
      </c>
      <c r="H522" s="6">
        <v>14907.85</v>
      </c>
      <c r="I522" s="7" t="s">
        <v>254</v>
      </c>
      <c r="J522" s="10" t="s">
        <v>829</v>
      </c>
      <c r="K522" t="str">
        <f>HYPERLINK("http://www8.mpce.mp.br/Empenhos/150501/NE/2024NE000547.pdf","2024NE000547")</f>
        <v>2024NE000547</v>
      </c>
      <c r="L522" s="13">
        <v>13486.5</v>
      </c>
      <c r="M522" t="s">
        <v>402</v>
      </c>
      <c r="N522">
        <v>53820857000114</v>
      </c>
    </row>
    <row r="523" spans="1:14" ht="38.25" x14ac:dyDescent="0.25">
      <c r="A523" s="12" t="s">
        <v>34</v>
      </c>
      <c r="B523" s="2" t="s">
        <v>782</v>
      </c>
      <c r="C523" s="3" t="str">
        <f>HYPERLINK("http://www8.mpce.mp.br/Dispensa/2004820193.pdf","20048/2019-3")</f>
        <v>20048/2019-3</v>
      </c>
      <c r="D523" s="4">
        <v>45565</v>
      </c>
      <c r="E523" s="16" t="str">
        <f>HYPERLINK("https://www8.mpce.mp.br/Empenhos/150001/Objeto/84-2019.pdf","ALUGUEL DO MÊS DE OUTUBRO DE 2024, RELATIVO AO IMÓVEL ONDE FUNCIONAM AS PROMOTORIAS DE JUSTIÇA DA COMARCA DE MOMBAÇA, CONF. CONTRATO Nº 084/2019.")</f>
        <v>ALUGUEL DO MÊS DE OUTUBRO DE 2024, RELATIVO AO IMÓVEL ONDE FUNCIONAM AS PROMOTORIAS DE JUSTIÇA DA COMARCA DE MOMBAÇA, CONF. CONTRATO Nº 084/2019.</v>
      </c>
      <c r="F523" s="2" t="s">
        <v>161</v>
      </c>
      <c r="G523" s="5" t="str">
        <f>HYPERLINK("http://www8.mpce.mp.br/Empenhos/150501/NE/2024NE001047.pdf","2024NE001047")</f>
        <v>2024NE001047</v>
      </c>
      <c r="H523" s="6">
        <v>4000</v>
      </c>
      <c r="I523" s="7" t="s">
        <v>162</v>
      </c>
      <c r="J523" s="10" t="s">
        <v>163</v>
      </c>
      <c r="K523" t="str">
        <f>HYPERLINK("http://www8.mpce.mp.br/Empenhos/150501/NE/2024NE000548.pdf","2024NE000548")</f>
        <v>2024NE000548</v>
      </c>
      <c r="L523" s="13">
        <v>18900</v>
      </c>
      <c r="M523" t="s">
        <v>129</v>
      </c>
      <c r="N523">
        <v>32697604000125</v>
      </c>
    </row>
    <row r="524" spans="1:14" ht="51" x14ac:dyDescent="0.25">
      <c r="A524" s="12" t="s">
        <v>34</v>
      </c>
      <c r="B524" s="2" t="s">
        <v>783</v>
      </c>
      <c r="C524" s="3" t="str">
        <f>HYPERLINK("http://www8.mpce.mp.br/Dispensa/1955220197.pdf","19552/2019-7")</f>
        <v>19552/2019-7</v>
      </c>
      <c r="D524" s="4">
        <v>45565</v>
      </c>
      <c r="E524" s="16" t="str">
        <f>HYPERLINK("https://www8.mpce.mp.br/Empenhos/150001/Objeto/85-2019.pdf","ALUGUEL DO MÊS DE OUTUBRO DE 2024, RELATIVO AO IMÓVEL ONDE FUNCIONAM AS PROMOTORIAS DE.JUSTIÇA DA COMARCA.DE PARAIPABA, CONF. CONTRATO Nº 085/2019.")</f>
        <v>ALUGUEL DO MÊS DE OUTUBRO DE 2024, RELATIVO AO IMÓVEL ONDE FUNCIONAM AS PROMOTORIAS DE.JUSTIÇA DA COMARCA.DE PARAIPABA, CONF. CONTRATO Nº 085/2019.</v>
      </c>
      <c r="F524" s="2" t="s">
        <v>784</v>
      </c>
      <c r="G524" s="5" t="str">
        <f>HYPERLINK("http://www8.mpce.mp.br/Empenhos/150501/NE/2024NE001048.pdf","2024NE001048")</f>
        <v>2024NE001048</v>
      </c>
      <c r="H524" s="6">
        <v>1306.7</v>
      </c>
      <c r="I524" s="7" t="s">
        <v>186</v>
      </c>
      <c r="J524" s="10" t="s">
        <v>187</v>
      </c>
      <c r="K524" t="str">
        <f>HYPERLINK("http://www8.mpce.mp.br/Empenhos/150501/NE/2024NE000549.pdf","2024NE000549")</f>
        <v>2024NE000549</v>
      </c>
      <c r="L524" s="13">
        <v>33400.11</v>
      </c>
      <c r="M524" t="s">
        <v>134</v>
      </c>
      <c r="N524">
        <v>44114554000195</v>
      </c>
    </row>
    <row r="525" spans="1:14" ht="51" x14ac:dyDescent="0.25">
      <c r="A525" s="12" t="s">
        <v>34</v>
      </c>
      <c r="B525" s="2" t="s">
        <v>785</v>
      </c>
      <c r="C525" s="3" t="str">
        <f>HYPERLINK("https://transparencia-area-fim.mpce.mp.br/#/consulta/processo/pastadigital/092021000047808","09.2021.00004780-8")</f>
        <v>09.2021.00004780-8</v>
      </c>
      <c r="D525" s="4">
        <v>45565</v>
      </c>
      <c r="E525" s="16" t="str">
        <f>HYPERLINK("https://www8.mpce.mp.br/Empenhos/150001/Objeto/25-2021.pdf","ALUGUEL DO MÊS DE OUTUBRO DE 2024, RELATIVO AO IMÓVEL ONDE FUNCIONAM AS PROMOTORIAS DE JUSTIÇA DA COMARCA.DE ALTO SANTO, CONF. CONTRATO Nº 025/2021.")</f>
        <v>ALUGUEL DO MÊS DE OUTUBRO DE 2024, RELATIVO AO IMÓVEL ONDE FUNCIONAM AS PROMOTORIAS DE JUSTIÇA DA COMARCA.DE ALTO SANTO, CONF. CONTRATO Nº 025/2021.</v>
      </c>
      <c r="F525" s="2" t="s">
        <v>161</v>
      </c>
      <c r="G525" s="5" t="str">
        <f>HYPERLINK("http://www8.mpce.mp.br/Empenhos/150501/NE/2024NE001049.pdf","2024NE001049")</f>
        <v>2024NE001049</v>
      </c>
      <c r="H525" s="6">
        <v>1651.15</v>
      </c>
      <c r="I525" s="7" t="s">
        <v>207</v>
      </c>
      <c r="J525" s="10" t="s">
        <v>208</v>
      </c>
      <c r="K525" t="str">
        <f>HYPERLINK("http://www8.mpce.mp.br/Empenhos/150501/NE/2024NE000550.pdf","2024NE000550")</f>
        <v>2024NE000550</v>
      </c>
      <c r="L525" s="13">
        <v>24300</v>
      </c>
      <c r="M525" t="s">
        <v>535</v>
      </c>
      <c r="N525">
        <v>35076587000105</v>
      </c>
    </row>
    <row r="526" spans="1:14" ht="51" x14ac:dyDescent="0.25">
      <c r="A526" s="12" t="s">
        <v>34</v>
      </c>
      <c r="B526" s="2" t="s">
        <v>786</v>
      </c>
      <c r="C526" s="3" t="str">
        <f>HYPERLINK("https://transparencia-area-fim.mpce.mp.br/#/consulta/processo/pastadigital/092024000248980","09.2024.00024898-0")</f>
        <v>09.2024.00024898-0</v>
      </c>
      <c r="D526" s="4">
        <v>45552</v>
      </c>
      <c r="E526" s="16" t="str">
        <f>HYPERLINK("https://www8.mpce.mp.br/Empenhos/150001/Objeto/72-2024.pdf","EMPENHO REF. 02 (DUAS) LICENÇAS DE SOFTWARE MICROSOFT POWER BI PRO COM GARANTIA DE ATUALIZAÇÕES E SUPORTE TÉCNICO, POR DISPENSA DE LICITAÇÃO, CONF. CONTRATO 072/2024, REF. 2024.")</f>
        <v>EMPENHO REF. 02 (DUAS) LICENÇAS DE SOFTWARE MICROSOFT POWER BI PRO COM GARANTIA DE ATUALIZAÇÕES E SUPORTE TÉCNICO, POR DISPENSA DE LICITAÇÃO, CONF. CONTRATO 072/2024, REF. 2024.</v>
      </c>
      <c r="F526" s="2" t="s">
        <v>71</v>
      </c>
      <c r="G526" s="5" t="str">
        <f>HYPERLINK("http://www8.mpce.mp.br/Empenhos/150501/NE/2024NE001056.pdf","2024NE001056")</f>
        <v>2024NE001056</v>
      </c>
      <c r="H526" s="6">
        <v>1224.8599999999999</v>
      </c>
      <c r="I526" s="7" t="s">
        <v>787</v>
      </c>
      <c r="J526" s="10" t="s">
        <v>862</v>
      </c>
      <c r="K526" t="str">
        <f>HYPERLINK("http://www8.mpce.mp.br/Empenhos/150501/NE/2024NE000550.pdf","2024NE000550")</f>
        <v>2024NE000550</v>
      </c>
      <c r="L526" s="13">
        <v>24300</v>
      </c>
      <c r="M526" t="s">
        <v>535</v>
      </c>
      <c r="N526">
        <v>35076587000105</v>
      </c>
    </row>
    <row r="527" spans="1:14" ht="76.5" x14ac:dyDescent="0.25">
      <c r="A527" s="12" t="s">
        <v>34</v>
      </c>
      <c r="B527" s="2" t="s">
        <v>788</v>
      </c>
      <c r="C527" s="3" t="str">
        <f>HYPERLINK("https://transparencia-area-fim.mpce.mp.br/#/consulta/processo/pastadigital/092023000388810","09.2023.00038881-0")</f>
        <v>09.2023.00038881-0</v>
      </c>
      <c r="D527" s="4">
        <v>45569</v>
      </c>
      <c r="E527" s="16" t="str">
        <f>HYPERLINK("https://www8.mpce.mp.br/Empenhos/150001/Objeto/22-2024.pdf","SOLICITAÇÃO DE  PRESTAÇÃO OS SERVIÇOS DE SOLUÇÃO EM NUVEM DE PROTEÇÃO GESTÃO, AVALIAÇÃO DE POSTURA E CONECTIVIDADE PARA NUVEM, INCLUINDO IMPLANTAÇÃO, MONITORAMENTO E SUPORTE TÉCNICO, REFERENTE AO MÊS DE OUTUBRO, CONFORME CONTRATO 022/2024.")</f>
        <v>SOLICITAÇÃO DE  PRESTAÇÃO OS SERVIÇOS DE SOLUÇÃO EM NUVEM DE PROTEÇÃO GESTÃO, AVALIAÇÃO DE POSTURA E CONECTIVIDADE PARA NUVEM, INCLUINDO IMPLANTAÇÃO, MONITORAMENTO E SUPORTE TÉCNICO, REFERENTE AO MÊS DE OUTUBRO, CONFORME CONTRATO 022/2024.</v>
      </c>
      <c r="F527" s="2" t="s">
        <v>516</v>
      </c>
      <c r="G527" s="5" t="str">
        <f>HYPERLINK("http://www8.mpce.mp.br/Empenhos/150501/NE/2024NE001063.pdf","2024NE001063")</f>
        <v>2024NE001063</v>
      </c>
      <c r="H527" s="6">
        <v>35718.5</v>
      </c>
      <c r="I527" s="7" t="s">
        <v>244</v>
      </c>
      <c r="J527" s="10" t="s">
        <v>245</v>
      </c>
      <c r="K527" t="str">
        <f>HYPERLINK("http://www8.mpce.mp.br/Empenhos/150501/NE/2024NE000551.pdf","2024NE000551")</f>
        <v>2024NE000551</v>
      </c>
      <c r="L527" s="13">
        <v>18000</v>
      </c>
      <c r="M527" t="s">
        <v>146</v>
      </c>
      <c r="N527">
        <v>41456187000110</v>
      </c>
    </row>
    <row r="528" spans="1:14" ht="51" x14ac:dyDescent="0.25">
      <c r="A528" s="12" t="s">
        <v>34</v>
      </c>
      <c r="B528" s="2" t="s">
        <v>789</v>
      </c>
      <c r="C528" s="3" t="str">
        <f>HYPERLINK("http://www8.mpce.mp.br/Dispensa/3072520194.pdf","30725/2019-4")</f>
        <v>30725/2019-4</v>
      </c>
      <c r="D528" s="4">
        <v>45569</v>
      </c>
      <c r="E528" s="16" t="str">
        <f>HYPERLINK("https://www8.mpce.mp.br/Empenhos/150001/Objeto/06-2020.pdf","PRESTAÇÃO DE SERVIÇOS DE NUVEM, E TRANSPORTE DE DADOS POR MEIO DO CINTURÃO DIGITAL DO CEARÁ (CDC), REFERENTE AO MÊS DE OUTUBRO DE 2024, CONF. CONTRATO Nº 006/2020.")</f>
        <v>PRESTAÇÃO DE SERVIÇOS DE NUVEM, E TRANSPORTE DE DADOS POR MEIO DO CINTURÃO DIGITAL DO CEARÁ (CDC), REFERENTE AO MÊS DE OUTUBRO DE 2024, CONF. CONTRATO Nº 006/2020.</v>
      </c>
      <c r="F528" s="2" t="s">
        <v>618</v>
      </c>
      <c r="G528" s="5" t="str">
        <f>HYPERLINK("http://www8.mpce.mp.br/Empenhos/150501/NE/2024NE001067.pdf","2024NE001067")</f>
        <v>2024NE001067</v>
      </c>
      <c r="H528" s="6">
        <v>25207.61</v>
      </c>
      <c r="I528" s="7" t="s">
        <v>244</v>
      </c>
      <c r="J528" s="10" t="s">
        <v>245</v>
      </c>
      <c r="K528" t="str">
        <f>HYPERLINK("http://www8.mpce.mp.br/Empenhos/150501/NE/2024NE000552.pdf","2024NE000552")</f>
        <v>2024NE000552</v>
      </c>
      <c r="L528" s="13">
        <v>45512.77</v>
      </c>
      <c r="M528" t="s">
        <v>151</v>
      </c>
      <c r="N528">
        <v>22705562000173</v>
      </c>
    </row>
    <row r="529" spans="1:14" ht="90" x14ac:dyDescent="0.25">
      <c r="A529" s="12" t="s">
        <v>34</v>
      </c>
      <c r="B529" s="2" t="s">
        <v>790</v>
      </c>
      <c r="C529" s="3" t="str">
        <f>HYPERLINK("https://transparencia-area-fim.mpce.mp.br/#/consulta/processo/pastadigital/092023000117363","09.2023.00011736-3")</f>
        <v>09.2023.00011736-3</v>
      </c>
      <c r="D529" s="4">
        <v>45568</v>
      </c>
      <c r="E529" s="17" t="str">
        <f>HYPERLINK("https://www8.mpce.mp.br/Empenhos/150001/Objeto/32-2023.pdf","PRESTAÇÃO DE SERVIÇOS DISPONIBILIZAÇÃO DE SOLUÇÃO TECNOLÓGICA NA MODALIDADE SOFTWARE COMO SERVIÇO (SAAS) PARA GESTÃO INTEGRADA DE "&amp;"ESTRATÉGIA, PORTFÓLIO, PROJETOS, TAREFAS, REUNIÕES INDICADORES E PROCESSOS, REFERENTE AO MÊS DE OUTUBRO, CONFORME CONTRATO Nº 032/2023.")</f>
        <v>PRESTAÇÃO DE SERVIÇOS DISPONIBILIZAÇÃO DE SOLUÇÃO TECNOLÓGICA NA MODALIDADE SOFTWARE COMO SERVIÇO (SAAS) PARA GESTÃO INTEGRADA DE ESTRATÉGIA, PORTFÓLIO, PROJETOS, TAREFAS, REUNIÕES INDICADORES E PROCESSOS, REFERENTE AO MÊS DE OUTUBRO, CONFORME CONTRATO Nº 032/2023.</v>
      </c>
      <c r="F529" s="2" t="s">
        <v>608</v>
      </c>
      <c r="G529" s="5" t="str">
        <f>HYPERLINK("http://www8.mpce.mp.br/Empenhos/150501/NE/2024NE001068.pdf","2024NE001068")</f>
        <v>2024NE001068</v>
      </c>
      <c r="H529" s="6">
        <v>6216.42</v>
      </c>
      <c r="I529" s="7" t="s">
        <v>244</v>
      </c>
      <c r="J529" s="10" t="s">
        <v>245</v>
      </c>
      <c r="K529" t="str">
        <f>HYPERLINK("http://www8.mpce.mp.br/Empenhos/150501/NE/2024NE000553.pdf","2024NE000553")</f>
        <v>2024NE000553</v>
      </c>
      <c r="L529" s="13">
        <v>5600</v>
      </c>
      <c r="M529" t="s">
        <v>123</v>
      </c>
      <c r="N529">
        <v>12255352000177</v>
      </c>
    </row>
    <row r="530" spans="1:14" ht="135" x14ac:dyDescent="0.25">
      <c r="A530" s="12" t="s">
        <v>34</v>
      </c>
      <c r="B530" s="2" t="s">
        <v>791</v>
      </c>
      <c r="C530" s="3" t="str">
        <f>HYPERLINK("https://transparencia-area-fim.mpce.mp.br/#/consulta/processo/pastadigital/092021000349974","09.2021.00034997-4")</f>
        <v>09.2021.00034997-4</v>
      </c>
      <c r="D530" s="4">
        <v>45569</v>
      </c>
      <c r="E530" s="17" t="str">
        <f>HYPERLINK("https://www8.mpce.mp.br/Empenhos/150001/Objeto/01-2022.pdf","SOLICITAÇÃO DE DIGITALIZAÇÃO DE SERVIÇOS PÚBLICOS, NO MODELO DE SOFTWARE COMO SERVIÇOS (SAAS), BEM COMO A ADEQUAÇÃO E AUTOMAÇÃO DOS SERVIÇOS PROPRIAMENTE DITOS, COM "&amp;"O USO DA SOLUÇÃO TECNOLÓGICA DISPONIBILIZADA INCLUINDO SUPORTE TÉCNICO PARA DESENVOLVIMENTO E IMPLANTAÇÃO DE CAMADA DE INTEROPERABILIDADE, INCLUINDO SERVIÇOS DE INTEGRAÇÃO "&amp;"DE SISTEMAS, REFERENTE AO MÊS DE OUTUBRO DE 2024, CONF. CONTRATO Nº 001/2022.")</f>
        <v>SOLICITAÇÃO DE DIGITALIZAÇÃO DE SERVIÇOS PÚBLICOS, NO MODELO DE SOFTWARE COMO SERVIÇOS (SAAS), BEM COMO A ADEQUAÇÃO E AUTOMAÇÃO DOS SERVIÇOS PROPRIAMENTE DITOS, COM O USO DA SOLUÇÃO TECNOLÓGICA DISPONIBILIZADA INCLUINDO SUPORTE TÉCNICO PARA DESENVOLVIMENTO E IMPLANTAÇÃO DE CAMADA DE INTEROPERABILIDADE, INCLUINDO SERVIÇOS DE INTEGRAÇÃO DE SISTEMAS, REFERENTE AO MÊS DE OUTUBRO DE 2024, CONF. CONTRATO Nº 001/2022.</v>
      </c>
      <c r="F530" s="2" t="s">
        <v>608</v>
      </c>
      <c r="G530" s="5" t="str">
        <f>HYPERLINK("http://www8.mpce.mp.br/Empenhos/150501/NE/2024NE001070.pdf","2024NE001070")</f>
        <v>2024NE001070</v>
      </c>
      <c r="H530" s="6">
        <v>36672</v>
      </c>
      <c r="I530" s="7" t="s">
        <v>244</v>
      </c>
      <c r="J530" s="10" t="s">
        <v>245</v>
      </c>
      <c r="K530" t="str">
        <f>HYPERLINK("http://www8.mpce.mp.br/Empenhos/150501/NE/2024NE000554.pdf","2024NE000554")</f>
        <v>2024NE000554</v>
      </c>
      <c r="L530" s="13">
        <v>58910.97</v>
      </c>
      <c r="M530" t="s">
        <v>158</v>
      </c>
      <c r="N530">
        <v>5569807000163</v>
      </c>
    </row>
    <row r="531" spans="1:14" ht="105" x14ac:dyDescent="0.25">
      <c r="A531" s="12" t="s">
        <v>9</v>
      </c>
      <c r="B531" s="2" t="s">
        <v>792</v>
      </c>
      <c r="C531" s="3" t="str">
        <f>HYPERLINK("https://transparencia-area-fim.mpce.mp.br/#/consulta/processo/pastadigital/092023000287946","09.2023.00028794-6")</f>
        <v>09.2023.00028794-6</v>
      </c>
      <c r="D531" s="4">
        <v>45568</v>
      </c>
      <c r="E531" s="17" t="str">
        <f>HYPERLINK("https://www8.mpce.mp.br/Empenhos/150001/Objeto/59-2023.pdf","FORNECIMENTO DE LICENÇAS DE SOFTWARE SISTEMA DE AVALIAÇÃO DE DESEMPENHO, GESTÃO POR COMPETÊNCIAS, PLANO DE DESENVOLVIMENTO INDIVIDUAL E PESQUISA DE CLIMA ORGANIZACIONAL, INCLUINDO OS SERVIÇOS DE IMPLANTAÇÃO, TREINAMENTO,"&amp;" ATUALIZAÇÃO E SUPORTE TÉCNICO, PARA OS DE OUTUBRO, NOVEMBRO E DEZEMBRO, CONF. CONTRATO Nº 059/2023")</f>
        <v>FORNECIMENTO DE LICENÇAS DE SOFTWARE SISTEMA DE AVALIAÇÃO DE DESEMPENHO, GESTÃO POR COMPETÊNCIAS, PLANO DE DESENVOLVIMENTO INDIVIDUAL E PESQUISA DE CLIMA ORGANIZACIONAL, INCLUINDO OS SERVIÇOS DE IMPLANTAÇÃO, TREINAMENTO, ATUALIZAÇÃO E SUPORTE TÉCNICO, PARA OS DE OUTUBRO, NOVEMBRO E DEZEMBRO, CONF. CONTRATO Nº 059/2023</v>
      </c>
      <c r="F531" s="2" t="s">
        <v>109</v>
      </c>
      <c r="G531" s="5" t="str">
        <f>HYPERLINK("http://www8.mpce.mp.br/Empenhos/150501/NE/2024NE001071.pdf","2024NE001071")</f>
        <v>2024NE001071</v>
      </c>
      <c r="H531" s="6">
        <v>7594.5</v>
      </c>
      <c r="I531" s="7" t="s">
        <v>110</v>
      </c>
      <c r="J531" s="10" t="s">
        <v>111</v>
      </c>
      <c r="K531" t="str">
        <f>HYPERLINK("http://www8.mpce.mp.br/Empenhos/150501/NE/2024NE000555.pdf","2024NE000555")</f>
        <v>2024NE000555</v>
      </c>
      <c r="L531" s="13">
        <v>22143.48</v>
      </c>
      <c r="M531" t="s">
        <v>153</v>
      </c>
      <c r="N531">
        <v>10508750000122</v>
      </c>
    </row>
    <row r="532" spans="1:14" ht="51" x14ac:dyDescent="0.25">
      <c r="A532" s="12" t="s">
        <v>34</v>
      </c>
      <c r="B532" s="2" t="s">
        <v>768</v>
      </c>
      <c r="C532" s="3" t="str">
        <f>HYPERLINK("https://transparencia-area-fim.mpce.mp.br/#/consulta/processo/pastadigital/092021000244550","09.2021.00024455-0")</f>
        <v>09.2021.00024455-0</v>
      </c>
      <c r="D532" s="4">
        <v>45555</v>
      </c>
      <c r="E532" s="16" t="str">
        <f>HYPERLINK("https://www8.mpce.mp.br/Empenhos/150001/Objeto/10-2022.pdf","EMPENHO REF. ALUGUEL DE IMÓVEL ONDE FUNCIONA SEDE DE PROMOTORIAS DE JUSTIÇA DA COMARCA DE ICÓ, CONF. CONTRATO 010/2022, REF. SET/2024, POR ESTIMATIVA.")</f>
        <v>EMPENHO REF. ALUGUEL DE IMÓVEL ONDE FUNCIONA SEDE DE PROMOTORIAS DE JUSTIÇA DA COMARCA DE ICÓ, CONF. CONTRATO 010/2022, REF. SET/2024, POR ESTIMATIVA.</v>
      </c>
      <c r="F532" s="2" t="s">
        <v>116</v>
      </c>
      <c r="G532" s="5" t="str">
        <f>HYPERLINK("http://www8.mpce.mp.br/Empenhos/150501/NE/2024NE001074.pdf","2024NE001074")</f>
        <v>2024NE001074</v>
      </c>
      <c r="H532" s="6">
        <v>13486.5</v>
      </c>
      <c r="I532" s="7" t="s">
        <v>402</v>
      </c>
      <c r="J532" s="10" t="s">
        <v>841</v>
      </c>
      <c r="K532" t="str">
        <f>HYPERLINK("http://www8.mpce.mp.br/Empenhos/150501/NE/2024NE000556.pdf","2024NE000556")</f>
        <v>2024NE000556</v>
      </c>
      <c r="L532" s="13">
        <v>22000</v>
      </c>
      <c r="M532" t="s">
        <v>153</v>
      </c>
      <c r="N532">
        <v>10508750000122</v>
      </c>
    </row>
    <row r="533" spans="1:14" ht="51" x14ac:dyDescent="0.25">
      <c r="A533" s="12" t="s">
        <v>34</v>
      </c>
      <c r="B533" s="2" t="s">
        <v>334</v>
      </c>
      <c r="C533" s="3" t="str">
        <f>HYPERLINK("https://transparencia-area-fim.mpce.mp.br/#/consulta/processo/pastadigital/092021000244582","09.2021.00024458-2")</f>
        <v>09.2021.00024458-2</v>
      </c>
      <c r="D533" s="4">
        <v>45555</v>
      </c>
      <c r="E533" s="16" t="str">
        <f>HYPERLINK("https://www8.mpce.mp.br/Empenhos/150001/Objeto/11-2022.pdf","EMPENHO REF. ALUGUEL DE IMÓVEL ONDE FUNCIONA SEDE DE PROMOTORIAS DE JUSTIÇA DA COMARCA DE ARACATI, CONF. CONTRATO 011/2022, REF. SET/2024, POR ESTIMATIVA.")</f>
        <v>EMPENHO REF. ALUGUEL DE IMÓVEL ONDE FUNCIONA SEDE DE PROMOTORIAS DE JUSTIÇA DA COMARCA DE ARACATI, CONF. CONTRATO 011/2022, REF. SET/2024, POR ESTIMATIVA.</v>
      </c>
      <c r="F533" s="2" t="s">
        <v>116</v>
      </c>
      <c r="G533" s="5" t="str">
        <f>HYPERLINK("http://www8.mpce.mp.br/Empenhos/150501/NE/2024NE001075.pdf","2024NE001075")</f>
        <v>2024NE001075</v>
      </c>
      <c r="H533" s="6">
        <v>18465</v>
      </c>
      <c r="I533" s="7" t="s">
        <v>171</v>
      </c>
      <c r="J533" s="10" t="s">
        <v>172</v>
      </c>
      <c r="K533" t="str">
        <f>HYPERLINK("http://www8.mpce.mp.br/Empenhos/150501/NE/2024NE000558.pdf","2024NE000558")</f>
        <v>2024NE000558</v>
      </c>
      <c r="L533" s="13">
        <v>35718.5</v>
      </c>
      <c r="M533" t="s">
        <v>244</v>
      </c>
      <c r="N533">
        <v>3773788000167</v>
      </c>
    </row>
    <row r="534" spans="1:14" ht="51" x14ac:dyDescent="0.25">
      <c r="A534" s="12" t="s">
        <v>34</v>
      </c>
      <c r="B534" s="2" t="s">
        <v>334</v>
      </c>
      <c r="C534" s="3" t="str">
        <f>HYPERLINK("https://transparencia-area-fim.mpce.mp.br/#/consulta/processo/pastadigital/092021000064195","09.2021.00006419-5")</f>
        <v>09.2021.00006419-5</v>
      </c>
      <c r="D534" s="4">
        <v>45555</v>
      </c>
      <c r="E534" s="16" t="str">
        <f>HYPERLINK("https://www8.mpce.mp.br/Empenhos/150001/Objeto/41-2021.pdf","EMPENHO REF. ALUGUEL DE IMÓVEL ONDE FUNCIONA SEDE DE PROMOTORIAS DE JUSTIÇA DA COMARCA DE QUIXADÁ, CONF. CONTRATO 041/2021, REF. SET/2024, POR ESTIMATIVA.")</f>
        <v>EMPENHO REF. ALUGUEL DE IMÓVEL ONDE FUNCIONA SEDE DE PROMOTORIAS DE JUSTIÇA DA COMARCA DE QUIXADÁ, CONF. CONTRATO 041/2021, REF. SET/2024, POR ESTIMATIVA.</v>
      </c>
      <c r="F534" s="2" t="s">
        <v>116</v>
      </c>
      <c r="G534" s="5" t="str">
        <f>HYPERLINK("http://www8.mpce.mp.br/Empenhos/150501/NE/2024NE001076.pdf","2024NE001076")</f>
        <v>2024NE001076</v>
      </c>
      <c r="H534" s="6">
        <v>18900</v>
      </c>
      <c r="I534" s="7" t="s">
        <v>129</v>
      </c>
      <c r="J534" s="10" t="s">
        <v>130</v>
      </c>
      <c r="K534" t="str">
        <f>HYPERLINK("http://www8.mpce.mp.br/Empenhos/150501/NE/2024NE000558.pdf","2024NE000558")</f>
        <v>2024NE000558</v>
      </c>
      <c r="L534" s="13">
        <v>35718.5</v>
      </c>
      <c r="M534" t="s">
        <v>244</v>
      </c>
      <c r="N534">
        <v>3773788000167</v>
      </c>
    </row>
    <row r="535" spans="1:14" ht="38.25" x14ac:dyDescent="0.25">
      <c r="A535" s="12" t="s">
        <v>34</v>
      </c>
      <c r="B535" s="2" t="s">
        <v>334</v>
      </c>
      <c r="C535" s="3" t="str">
        <f>HYPERLINK("https://transparencia-area-fim.mpce.mp.br/#/consulta/processo/pastadigital/092023000338563","09.2023.00033856-3")</f>
        <v>09.2023.00033856-3</v>
      </c>
      <c r="D535" s="4">
        <v>45568</v>
      </c>
      <c r="E535" s="16" t="str">
        <f>HYPERLINK("https://www8.mpce.mp.br/Empenhos/150001/Objeto/01-2024.pdf","EMPENHO REF. ALUGUEL DE IMÓVEL ONDE FUNCIONA SEDE DE PROMOTORIAS DE JUSTIÇA DE AQUIRAZ, CONF. CONTRATO 001/2024, REF. OUT/2024, POR ESTIMATIVA.")</f>
        <v>EMPENHO REF. ALUGUEL DE IMÓVEL ONDE FUNCIONA SEDE DE PROMOTORIAS DE JUSTIÇA DE AQUIRAZ, CONF. CONTRATO 001/2024, REF. OUT/2024, POR ESTIMATIVA.</v>
      </c>
      <c r="F535" s="2" t="s">
        <v>116</v>
      </c>
      <c r="G535" s="5" t="str">
        <f>HYPERLINK("http://www8.mpce.mp.br/Empenhos/150501/NE/2024NE001088.pdf","2024NE001088")</f>
        <v>2024NE001088</v>
      </c>
      <c r="H535" s="6">
        <v>16440</v>
      </c>
      <c r="I535" s="7" t="s">
        <v>151</v>
      </c>
      <c r="J535" s="10" t="s">
        <v>152</v>
      </c>
      <c r="K535" t="str">
        <f>HYPERLINK("http://www8.mpce.mp.br/Empenhos/150501/NE/2024NE000558.pdf","2024NE000558")</f>
        <v>2024NE000558</v>
      </c>
      <c r="L535" s="13">
        <v>35718.5</v>
      </c>
      <c r="M535" t="s">
        <v>244</v>
      </c>
      <c r="N535">
        <v>3773788000167</v>
      </c>
    </row>
    <row r="536" spans="1:14" ht="38.25" x14ac:dyDescent="0.25">
      <c r="A536" s="12" t="s">
        <v>9</v>
      </c>
      <c r="B536" s="2" t="s">
        <v>793</v>
      </c>
      <c r="C536" s="3" t="str">
        <f>HYPERLINK("https://transparencia-area-fim.mpce.mp.br/#/consulta/processo/pastadigital/092021000189150","09.2021.00018915-0")</f>
        <v>09.2021.00018915-0</v>
      </c>
      <c r="D536" s="4">
        <v>45568</v>
      </c>
      <c r="E536" s="16" t="str">
        <f>HYPERLINK("https://www8.mpce.mp.br/Empenhos/150001/Objeto/09-2022.pdf","SERVIÇOS DE EXTENSÃO DE GARANTIA PARA O DATA CENTER, REF. AO MÊS DE OUTUBRO DE 2024, CONF. CONTRATO Nº 009/2022.")</f>
        <v>SERVIÇOS DE EXTENSÃO DE GARANTIA PARA O DATA CENTER, REF. AO MÊS DE OUTUBRO DE 2024, CONF. CONTRATO Nº 009/2022.</v>
      </c>
      <c r="F536" s="2" t="s">
        <v>262</v>
      </c>
      <c r="G536" s="5" t="str">
        <f>HYPERLINK("http://www8.mpce.mp.br/Empenhos/150501/NE/2024NE001092.pdf","2024NE001092")</f>
        <v>2024NE001092</v>
      </c>
      <c r="H536" s="6">
        <v>19378.669999999998</v>
      </c>
      <c r="I536" s="7" t="s">
        <v>263</v>
      </c>
      <c r="J536" s="10" t="s">
        <v>831</v>
      </c>
      <c r="K536" t="str">
        <f>HYPERLINK("http://www8.mpce.mp.br/Empenhos/150501/NE/2024NE000558.pdf","2024NE000558")</f>
        <v>2024NE000558</v>
      </c>
      <c r="L536" s="13">
        <v>35718.5</v>
      </c>
      <c r="M536" t="s">
        <v>244</v>
      </c>
      <c r="N536">
        <v>3773788000167</v>
      </c>
    </row>
    <row r="537" spans="1:14" ht="51" x14ac:dyDescent="0.25">
      <c r="A537" s="12" t="s">
        <v>34</v>
      </c>
      <c r="B537" s="2" t="s">
        <v>768</v>
      </c>
      <c r="C537" s="3" t="str">
        <f>HYPERLINK("https://transparencia-area-fim.mpce.mp.br/#/consulta/processo/pastadigital/092021000079244","09.2021.00007924-4")</f>
        <v>09.2021.00007924-4</v>
      </c>
      <c r="D537" s="4">
        <v>45555</v>
      </c>
      <c r="E537" s="16" t="str">
        <f>HYPERLINK("https://www8.mpce.mp.br/Empenhos/150001/Objeto/27-2021.pdf","EMPENHO REF. REEMBOLSO DE IPTU DE IMÓVEL ONDE FUNCIONA SEDE DE PROMOTORIAS DE JUSTIÇA DA COMARCA DE EUSÉBIO, CONF. CONTRATO 027/2021, REF. 2024 - 4ª, 5ª E 6ª PARCELAS.")</f>
        <v>EMPENHO REF. REEMBOLSO DE IPTU DE IMÓVEL ONDE FUNCIONA SEDE DE PROMOTORIAS DE JUSTIÇA DA COMARCA DE EUSÉBIO, CONF. CONTRATO 027/2021, REF. 2024 - 4ª, 5ª E 6ª PARCELAS.</v>
      </c>
      <c r="F537" s="2" t="s">
        <v>252</v>
      </c>
      <c r="G537" s="5" t="str">
        <f>HYPERLINK("http://www8.mpce.mp.br/Empenhos/150501/NE/2024NE001093.pdf","2024NE001093")</f>
        <v>2024NE001093</v>
      </c>
      <c r="H537" s="6">
        <v>729.9</v>
      </c>
      <c r="I537" s="7" t="s">
        <v>144</v>
      </c>
      <c r="J537" s="10" t="s">
        <v>145</v>
      </c>
      <c r="K537" t="str">
        <f>HYPERLINK("http://www8.mpce.mp.br/Empenhos/150501/NE/2024NE000560.pdf","2024NE000560")</f>
        <v>2024NE000560</v>
      </c>
      <c r="L537" s="13">
        <v>75338.100000000006</v>
      </c>
      <c r="M537" t="s">
        <v>72</v>
      </c>
      <c r="N537">
        <v>82845322000104</v>
      </c>
    </row>
    <row r="538" spans="1:14" ht="51" x14ac:dyDescent="0.25">
      <c r="A538" s="12" t="s">
        <v>34</v>
      </c>
      <c r="B538" s="2" t="s">
        <v>768</v>
      </c>
      <c r="C538" s="3" t="str">
        <f>HYPERLINK("https://transparencia-area-fim.mpce.mp.br/#/consulta/processo/pastadigital/092021000219739","09.2021.00021973-9")</f>
        <v>09.2021.00021973-9</v>
      </c>
      <c r="D538" s="4">
        <v>45555</v>
      </c>
      <c r="E538" s="16" t="str">
        <f>HYPERLINK("https://www8.mpce.mp.br/Empenhos/150001/Objeto/45-2021.pdf","EMPENHO REF. REEMBOLSO DE IPTU DE IMÓVEL ONDE FUNCIONA SEDE DE PROMOTORIAS DE JUSTIÇA DA COMARCA DE EUSÉBIO, CONF. CONTRATO 045/2021, REF. 2024 - 4ª, 5ª E 6ª PARCELAS.")</f>
        <v>EMPENHO REF. REEMBOLSO DE IPTU DE IMÓVEL ONDE FUNCIONA SEDE DE PROMOTORIAS DE JUSTIÇA DA COMARCA DE EUSÉBIO, CONF. CONTRATO 045/2021, REF. 2024 - 4ª, 5ª E 6ª PARCELAS.</v>
      </c>
      <c r="F538" s="2" t="s">
        <v>252</v>
      </c>
      <c r="G538" s="5" t="str">
        <f>HYPERLINK("http://www8.mpce.mp.br/Empenhos/150501/NE/2024NE001094.pdf","2024NE001094")</f>
        <v>2024NE001094</v>
      </c>
      <c r="H538" s="6">
        <v>457.11</v>
      </c>
      <c r="I538" s="7" t="s">
        <v>144</v>
      </c>
      <c r="J538" s="10" t="s">
        <v>145</v>
      </c>
      <c r="K538" t="str">
        <f>HYPERLINK("http://www8.mpce.mp.br/Empenhos/150501/NE/2024NE000560.pdf","2024NE000560")</f>
        <v>2024NE000560</v>
      </c>
      <c r="L538" s="13">
        <v>75338.100000000006</v>
      </c>
      <c r="M538" t="s">
        <v>72</v>
      </c>
      <c r="N538">
        <v>82845322000104</v>
      </c>
    </row>
    <row r="539" spans="1:14" ht="38.25" x14ac:dyDescent="0.25">
      <c r="A539" s="12" t="s">
        <v>34</v>
      </c>
      <c r="B539" s="2" t="s">
        <v>794</v>
      </c>
      <c r="C539" s="3" t="str">
        <f>HYPERLINK("https://transparencia-area-fim.mpce.mp.br/#/consulta/processo/pastadigital/092022000111032","09.2022.00011103-2")</f>
        <v>09.2022.00011103-2</v>
      </c>
      <c r="D539" s="4">
        <v>45572</v>
      </c>
      <c r="E539" s="16" t="str">
        <f>HYPERLINK("https://www8.mpce.mp.br/Empenhos/150001/Objeto/23-2022.pdf","EMPENHO REF. PRESTAÇÃO DE SERVIÇOS EM NUVEM, CONF. CONTRATO 023/2022, REF. OUT/2024, POR ESTIMATIVA.")</f>
        <v>EMPENHO REF. PRESTAÇÃO DE SERVIÇOS EM NUVEM, CONF. CONTRATO 023/2022, REF. OUT/2024, POR ESTIMATIVA.</v>
      </c>
      <c r="F539" s="2" t="s">
        <v>516</v>
      </c>
      <c r="G539" s="5" t="str">
        <f>HYPERLINK("http://www8.mpce.mp.br/Empenhos/150501/NE/2024NE001095.pdf","2024NE001095")</f>
        <v>2024NE001095</v>
      </c>
      <c r="H539" s="6">
        <v>71000</v>
      </c>
      <c r="I539" s="7" t="s">
        <v>244</v>
      </c>
      <c r="J539" s="10" t="s">
        <v>245</v>
      </c>
      <c r="K539" t="str">
        <f>HYPERLINK("http://www8.mpce.mp.br/Empenhos/150501/NE/2024NE000560.pdf","2024NE000560")</f>
        <v>2024NE000560</v>
      </c>
      <c r="L539" s="13">
        <v>75338.100000000006</v>
      </c>
      <c r="M539" t="s">
        <v>72</v>
      </c>
      <c r="N539">
        <v>82845322000104</v>
      </c>
    </row>
    <row r="540" spans="1:14" ht="25.5" x14ac:dyDescent="0.25">
      <c r="A540" s="12" t="s">
        <v>9</v>
      </c>
      <c r="B540" s="2" t="s">
        <v>795</v>
      </c>
      <c r="C540" s="3" t="str">
        <f t="shared" ref="C540:C545" si="1">HYPERLINK("https://transparencia-area-fim.mpce.mp.br/#/consulta/processo/pastadigital/092023000255300","09.2023.00025530-0")</f>
        <v>09.2023.00025530-0</v>
      </c>
      <c r="D540" s="4">
        <v>45572</v>
      </c>
      <c r="E540" s="16" t="str">
        <f>HYPERLINK("https://www8.mpce.mp.br/Empenhos/150001/Objeto/42-2024.pdf","EMPENHO REF. HOSPEDAGEM EM NUVEM, CONF. CONTRATO 042/2024, REF. OUT/2024, POR ESTIMATIVA.")</f>
        <v>EMPENHO REF. HOSPEDAGEM EM NUVEM, CONF. CONTRATO 042/2024, REF. OUT/2024, POR ESTIMATIVA.</v>
      </c>
      <c r="F540" s="2" t="s">
        <v>624</v>
      </c>
      <c r="G540" s="14" t="str">
        <f>HYPERLINK("http://www8.mpce.mp.br/Empenhos/150501/NE/2024NE001096.pdf","2024NE001096")</f>
        <v>2024NE001096</v>
      </c>
      <c r="H540" s="6">
        <v>104500</v>
      </c>
      <c r="I540" s="7" t="s">
        <v>72</v>
      </c>
      <c r="J540" s="10" t="s">
        <v>73</v>
      </c>
      <c r="K540" t="str">
        <f>HYPERLINK("http://www8.mpce.mp.br/Empenhos/150501/NE/2024NE000560.pdf","2024NE000560")</f>
        <v>2024NE000560</v>
      </c>
      <c r="L540" s="13">
        <v>75338.100000000006</v>
      </c>
      <c r="M540" t="s">
        <v>72</v>
      </c>
      <c r="N540">
        <v>82845322000104</v>
      </c>
    </row>
    <row r="541" spans="1:14" ht="33.75" x14ac:dyDescent="0.25">
      <c r="A541" s="12" t="s">
        <v>9</v>
      </c>
      <c r="B541" s="2" t="s">
        <v>796</v>
      </c>
      <c r="C541" s="3" t="str">
        <f t="shared" si="1"/>
        <v>09.2023.00025530-0</v>
      </c>
      <c r="D541" s="4">
        <v>45568</v>
      </c>
      <c r="E541" s="16" t="str">
        <f>HYPERLINK("https://www8.mpce.mp.br/Empenhos/150001/Objeto/42-2024.pdf","EMPENHO REF. SERVIÇO DE SUPORTE ESTENDIDO, CONF. CONTRATO 042/2024, REF. OUT/2024, POR ESTIMATIVA.")</f>
        <v>EMPENHO REF. SERVIÇO DE SUPORTE ESTENDIDO, CONF. CONTRATO 042/2024, REF. OUT/2024, POR ESTIMATIVA.</v>
      </c>
      <c r="F541" s="2" t="s">
        <v>71</v>
      </c>
      <c r="G541" s="14" t="str">
        <f>HYPERLINK("http://www8.mpce.mp.br/Empenhos/150501/NE/2024NE001097.pdf","2024NE001097")</f>
        <v>2024NE001097</v>
      </c>
      <c r="H541" s="6">
        <v>13896.9</v>
      </c>
      <c r="I541" s="7" t="s">
        <v>72</v>
      </c>
      <c r="J541" s="10" t="s">
        <v>73</v>
      </c>
      <c r="K541" t="str">
        <f>HYPERLINK("http://www8.mpce.mp.br/Empenhos/150501/NE/2024NE000560.pdf","2024NE000560")</f>
        <v>2024NE000560</v>
      </c>
      <c r="L541" s="13">
        <v>75338.100000000006</v>
      </c>
      <c r="M541" t="s">
        <v>72</v>
      </c>
      <c r="N541">
        <v>82845322000104</v>
      </c>
    </row>
    <row r="542" spans="1:14" ht="33.75" x14ac:dyDescent="0.25">
      <c r="A542" s="12" t="s">
        <v>9</v>
      </c>
      <c r="B542" s="2" t="s">
        <v>796</v>
      </c>
      <c r="C542" s="3" t="str">
        <f t="shared" si="1"/>
        <v>09.2023.00025530-0</v>
      </c>
      <c r="D542" s="4">
        <v>45572</v>
      </c>
      <c r="E542" s="16" t="str">
        <f>HYPERLINK("https://www8.mpce.mp.br/Empenhos/150001/Objeto/42-2024.pdf","EMPENHO REF. SERVIÇO DE SUPORTE 1º NÍVEL, CONF. CONTRATO 042/2024, REF. OUT/2024, POR ESTIMATIVA.")</f>
        <v>EMPENHO REF. SERVIÇO DE SUPORTE 1º NÍVEL, CONF. CONTRATO 042/2024, REF. OUT/2024, POR ESTIMATIVA.</v>
      </c>
      <c r="F542" s="2" t="s">
        <v>71</v>
      </c>
      <c r="G542" s="5" t="str">
        <f>HYPERLINK("http://www8.mpce.mp.br/Empenhos/150501/NE/2024NE001098.pdf","2024NE001098")</f>
        <v>2024NE001098</v>
      </c>
      <c r="H542" s="6">
        <v>109229.6</v>
      </c>
      <c r="I542" s="7" t="s">
        <v>72</v>
      </c>
      <c r="J542" s="10" t="s">
        <v>73</v>
      </c>
      <c r="K542" t="str">
        <f>HYPERLINK("http://www8.mpce.mp.br/Empenhos/150501/NE/2024NE000566.pdf","2024NE000566")</f>
        <v>2024NE000566</v>
      </c>
      <c r="L542" s="13">
        <v>2040.09</v>
      </c>
      <c r="M542" t="s">
        <v>219</v>
      </c>
      <c r="N542">
        <v>20941439372</v>
      </c>
    </row>
    <row r="543" spans="1:14" ht="33.75" x14ac:dyDescent="0.25">
      <c r="A543" s="12" t="s">
        <v>9</v>
      </c>
      <c r="B543" s="2" t="s">
        <v>796</v>
      </c>
      <c r="C543" s="3" t="str">
        <f t="shared" si="1"/>
        <v>09.2023.00025530-0</v>
      </c>
      <c r="D543" s="4">
        <v>45572</v>
      </c>
      <c r="E543" s="16" t="str">
        <f>HYPERLINK("https://www8.mpce.mp.br/Empenhos/150001/Objeto/42-2024.pdf","EMPENHO REF. SERVIÇO DE SUSTENTAÇÃO SAJ-MP, CONF. CONTRATO 042/2024, REF. OUT/2024, POR ESTIMATIVA.")</f>
        <v>EMPENHO REF. SERVIÇO DE SUSTENTAÇÃO SAJ-MP, CONF. CONTRATO 042/2024, REF. OUT/2024, POR ESTIMATIVA.</v>
      </c>
      <c r="F543" s="2" t="s">
        <v>71</v>
      </c>
      <c r="G543" s="5" t="str">
        <f>HYPERLINK("http://www8.mpce.mp.br/Empenhos/150501/NE/2024NE001099.pdf","2024NE001099")</f>
        <v>2024NE001099</v>
      </c>
      <c r="H543" s="6">
        <v>82608</v>
      </c>
      <c r="I543" s="7" t="s">
        <v>72</v>
      </c>
      <c r="J543" s="10" t="s">
        <v>73</v>
      </c>
      <c r="K543" t="str">
        <f>HYPERLINK("http://www8.mpce.mp.br/Empenhos/150501/NE/2024NE000567.pdf","2024NE000567")</f>
        <v>2024NE000567</v>
      </c>
      <c r="L543" s="13">
        <v>24450.84</v>
      </c>
      <c r="M543" t="s">
        <v>177</v>
      </c>
      <c r="N543">
        <v>2144832315</v>
      </c>
    </row>
    <row r="544" spans="1:14" ht="38.25" x14ac:dyDescent="0.25">
      <c r="A544" s="12" t="s">
        <v>9</v>
      </c>
      <c r="B544" s="2" t="s">
        <v>796</v>
      </c>
      <c r="C544" s="3" t="str">
        <f t="shared" si="1"/>
        <v>09.2023.00025530-0</v>
      </c>
      <c r="D544" s="4">
        <v>45572</v>
      </c>
      <c r="E544" s="16" t="str">
        <f>HYPERLINK("https://www8.mpce.mp.br/Empenhos/150001/Objeto/42-2024.pdf","EMPENHO REF. SERVIÇOS DE ACOMPANHAMENTO DA OPERAÇÃO SAJ-MP, CONF. CONTRATO 042/2024, REF. OUT/2024, POR ESTIMATIVA.")</f>
        <v>EMPENHO REF. SERVIÇOS DE ACOMPANHAMENTO DA OPERAÇÃO SAJ-MP, CONF. CONTRATO 042/2024, REF. OUT/2024, POR ESTIMATIVA.</v>
      </c>
      <c r="F544" s="2" t="s">
        <v>250</v>
      </c>
      <c r="G544" s="5" t="str">
        <f>HYPERLINK("http://www8.mpce.mp.br/Empenhos/150501/NE/2024NE001100.pdf","2024NE001100")</f>
        <v>2024NE001100</v>
      </c>
      <c r="H544" s="6">
        <v>72857</v>
      </c>
      <c r="I544" s="7" t="s">
        <v>72</v>
      </c>
      <c r="J544" s="10" t="s">
        <v>73</v>
      </c>
      <c r="K544" t="str">
        <f>HYPERLINK("http://www8.mpce.mp.br/Empenhos/150501/NE/2024NE000568.pdf","2024NE000568")</f>
        <v>2024NE000568</v>
      </c>
      <c r="L544" s="13">
        <v>13024.68</v>
      </c>
      <c r="M544" t="s">
        <v>232</v>
      </c>
      <c r="N544">
        <v>18904432391</v>
      </c>
    </row>
    <row r="545" spans="1:14" ht="38.25" x14ac:dyDescent="0.25">
      <c r="A545" s="12" t="s">
        <v>9</v>
      </c>
      <c r="B545" s="2" t="s">
        <v>796</v>
      </c>
      <c r="C545" s="3" t="str">
        <f t="shared" si="1"/>
        <v>09.2023.00025530-0</v>
      </c>
      <c r="D545" s="4">
        <v>45573</v>
      </c>
      <c r="E545" s="16" t="str">
        <f>HYPERLINK("https://www8.mpce.mp.br/Empenhos/150001/Objeto/42-2024.pdf","EMPENHO REF. SERVIÇOS DE GARANTIA DE EVOLUÇÃO TECNOLÓGICA E FUNCIONAL - GETF SAJ-MP, CONF. CONTRATO 042/2024, REF. OUT/2024, POR ESTIMATIVA.")</f>
        <v>EMPENHO REF. SERVIÇOS DE GARANTIA DE EVOLUÇÃO TECNOLÓGICA E FUNCIONAL - GETF SAJ-MP, CONF. CONTRATO 042/2024, REF. OUT/2024, POR ESTIMATIVA.</v>
      </c>
      <c r="F545" s="2" t="s">
        <v>71</v>
      </c>
      <c r="G545" s="5" t="str">
        <f>HYPERLINK("http://www8.mpce.mp.br/Empenhos/150501/NE/2024NE001106.pdf","2024NE001106")</f>
        <v>2024NE001106</v>
      </c>
      <c r="H545" s="6">
        <v>153428</v>
      </c>
      <c r="I545" s="7" t="s">
        <v>72</v>
      </c>
      <c r="J545" s="10" t="s">
        <v>73</v>
      </c>
      <c r="K545" t="str">
        <f>HYPERLINK("http://www8.mpce.mp.br/Empenhos/150501/NE/2024NE000569.pdf","2024NE000569")</f>
        <v>2024NE000569</v>
      </c>
      <c r="L545" s="13">
        <v>7025.91</v>
      </c>
      <c r="M545" t="s">
        <v>211</v>
      </c>
      <c r="N545">
        <v>46950052391</v>
      </c>
    </row>
    <row r="546" spans="1:14" ht="63.75" x14ac:dyDescent="0.25">
      <c r="A546" s="12" t="s">
        <v>9</v>
      </c>
      <c r="B546" s="2" t="s">
        <v>797</v>
      </c>
      <c r="C546" s="3" t="str">
        <f>HYPERLINK("https://transparencia-area-fim.mpce.mp.br/#/consulta/processo/pastadigital/092024000260350","09.2024.00026035-0")</f>
        <v>09.2024.00026035-0</v>
      </c>
      <c r="D546" s="4">
        <v>45559</v>
      </c>
      <c r="E546" s="16" t="str">
        <f>HYPERLINK("https://www8.mpce.mp.br/Empenhos/150001/Objeto/75-2024.pdf","EMPENHO REF. FORNECIMENTO DE LICENÇA DO SOFTWARE INSEYETS ONLINE PRO, INCLUÍDO SUPORTE TÉCNICO E ATUALIZAÇÃO TECNOLÓGICA, POR INEXIGIBILIDADE DE LICITAÇÃO, CONF. CONTRATO 075/2024, REF. 2024.")</f>
        <v>EMPENHO REF. FORNECIMENTO DE LICENÇA DO SOFTWARE INSEYETS ONLINE PRO, INCLUÍDO SUPORTE TÉCNICO E ATUALIZAÇÃO TECNOLÓGICA, POR INEXIGIBILIDADE DE LICITAÇÃO, CONF. CONTRATO 075/2024, REF. 2024.</v>
      </c>
      <c r="F546" s="2" t="s">
        <v>250</v>
      </c>
      <c r="G546" s="5" t="str">
        <f>HYPERLINK("http://www8.mpce.mp.br/Empenhos/150501/NE/2024NE001124.pdf","2024NE001124")</f>
        <v>2024NE001124</v>
      </c>
      <c r="H546" s="6">
        <v>172101.36</v>
      </c>
      <c r="I546" s="7" t="s">
        <v>247</v>
      </c>
      <c r="J546" s="10" t="s">
        <v>248</v>
      </c>
      <c r="K546" t="str">
        <f>HYPERLINK("http://www8.mpce.mp.br/Empenhos/150501/NE/2024NE000570.pdf","2024NE000570")</f>
        <v>2024NE000570</v>
      </c>
      <c r="L546" s="13">
        <v>4294.05</v>
      </c>
      <c r="M546" t="s">
        <v>140</v>
      </c>
      <c r="N546">
        <v>15473585000134</v>
      </c>
    </row>
    <row r="547" spans="1:14" ht="63.75" x14ac:dyDescent="0.25">
      <c r="A547" s="12" t="s">
        <v>9</v>
      </c>
      <c r="B547" s="2" t="s">
        <v>429</v>
      </c>
      <c r="C547" s="3" t="str">
        <f>HYPERLINK("https://transparencia-area-fim.mpce.mp.br/#/consulta/processo/pastadigital/092022000425906","09.2022.00042590-6")</f>
        <v>09.2022.00042590-6</v>
      </c>
      <c r="D547" s="4">
        <v>45560</v>
      </c>
      <c r="E547" s="16" t="str">
        <f>HYPERLINK("https://www8.mpce.mp.br/Empenhos/150001/Objeto/18-2023.pdf","EMPENHO REF. AO 1º ADITIVO AO CONTRATO Nº 018/2023/PGJ, CELEBRADO COM A EMPRESA TECHBIZ FORENSE DIGITAL LTDA, COM VISTAS À MIGRAÇÃO DE 2 (DUAS) UFED 4PC PARA A PLATAFORMA INSEYETS (ITEM 01), REF. 2024.")</f>
        <v>EMPENHO REF. AO 1º ADITIVO AO CONTRATO Nº 018/2023/PGJ, CELEBRADO COM A EMPRESA TECHBIZ FORENSE DIGITAL LTDA, COM VISTAS À MIGRAÇÃO DE 2 (DUAS) UFED 4PC PARA A PLATAFORMA INSEYETS (ITEM 01), REF. 2024.</v>
      </c>
      <c r="F547" s="2" t="s">
        <v>109</v>
      </c>
      <c r="G547" s="5" t="str">
        <f>HYPERLINK("http://www8.mpce.mp.br/Empenhos/150501/NE/2024NE001128.pdf","2024NE001128")</f>
        <v>2024NE001128</v>
      </c>
      <c r="H547" s="6">
        <v>131670</v>
      </c>
      <c r="I547" s="7" t="s">
        <v>247</v>
      </c>
      <c r="J547" s="10" t="s">
        <v>248</v>
      </c>
      <c r="K547" t="str">
        <f>HYPERLINK("http://www8.mpce.mp.br/Empenhos/150501/NE/2024NE000571.pdf","2024NE000571")</f>
        <v>2024NE000571</v>
      </c>
      <c r="L547" s="13">
        <v>3920.1</v>
      </c>
      <c r="M547" t="s">
        <v>186</v>
      </c>
      <c r="N547">
        <v>43713017387</v>
      </c>
    </row>
    <row r="548" spans="1:14" ht="51" x14ac:dyDescent="0.25">
      <c r="A548" s="12" t="s">
        <v>9</v>
      </c>
      <c r="B548" s="2" t="s">
        <v>775</v>
      </c>
      <c r="C548" s="3" t="str">
        <f>HYPERLINK("https://transparencia-area-fim.mpce.mp.br/#/consulta/processo/pastadigital/092022000426227","09.2022.00042622-7")</f>
        <v>09.2022.00042622-7</v>
      </c>
      <c r="D548" s="4">
        <v>45565</v>
      </c>
      <c r="E548" s="16" t="str">
        <f>HYPERLINK("https://www8.mpce.mp.br/Empenhos/150001/Objeto/33-2023.pdf","EMPENHO REF. ALUGUEL DE IMÓVEL ONDE FUNCIONA SEDE DE PROMOTORIAS DE JUSTIÇA DA COMARCA DE JUCÁS, CONF. CONTRATO 033/2023, REF. OUT/2024, POR ESTIMATIVA.")</f>
        <v>EMPENHO REF. ALUGUEL DE IMÓVEL ONDE FUNCIONA SEDE DE PROMOTORIAS DE JUSTIÇA DA COMARCA DE JUCÁS, CONF. CONTRATO 033/2023, REF. OUT/2024, POR ESTIMATIVA.</v>
      </c>
      <c r="F548" s="2" t="s">
        <v>161</v>
      </c>
      <c r="G548" s="5" t="str">
        <f>HYPERLINK("http://www8.mpce.mp.br/Empenhos/150501/NE/2024NE001152.pdf","2024NE001152")</f>
        <v>2024NE001152</v>
      </c>
      <c r="H548" s="6">
        <v>2500</v>
      </c>
      <c r="I548" s="7" t="s">
        <v>195</v>
      </c>
      <c r="J548" s="10" t="s">
        <v>196</v>
      </c>
      <c r="K548" t="str">
        <f>HYPERLINK("http://www8.mpce.mp.br/Empenhos/150501/NE/2024NE000572.pdf","2024NE000572")</f>
        <v>2024NE000572</v>
      </c>
      <c r="L548" s="13">
        <v>12000</v>
      </c>
      <c r="M548" t="s">
        <v>162</v>
      </c>
      <c r="N548">
        <v>19678451824</v>
      </c>
    </row>
    <row r="549" spans="1:14" ht="89.25" x14ac:dyDescent="0.25">
      <c r="A549" s="12" t="s">
        <v>34</v>
      </c>
      <c r="B549" s="2" t="s">
        <v>557</v>
      </c>
      <c r="C549" s="3" t="str">
        <f>HYPERLINK("https://transparencia-area-fim.mpce.mp.br/#/consulta/processo/pastadigital/092024000127176","09.2024.00012717-6")</f>
        <v>09.2024.00012717-6</v>
      </c>
      <c r="D549" s="4">
        <v>45426</v>
      </c>
      <c r="E549" s="16" t="s">
        <v>558</v>
      </c>
      <c r="F549" s="2" t="s">
        <v>81</v>
      </c>
      <c r="G549" s="5" t="str">
        <f>HYPERLINK("http://www8.mpce.mp.br/Empenhos/150001/NE/2024NE001153.pdf","2024NE001153")</f>
        <v>2024NE001153</v>
      </c>
      <c r="H549" s="6">
        <v>2935</v>
      </c>
      <c r="I549" s="7" t="s">
        <v>559</v>
      </c>
      <c r="J549" s="10" t="s">
        <v>863</v>
      </c>
      <c r="K549" t="str">
        <f>HYPERLINK("http://www8.mpce.mp.br/Empenhos/150501/NE/2024NE000573.pdf","2024NE000573")</f>
        <v>2024NE000573</v>
      </c>
      <c r="L549" s="13">
        <v>8807.1299999999992</v>
      </c>
      <c r="M549" t="s">
        <v>179</v>
      </c>
      <c r="N549">
        <v>77748638349</v>
      </c>
    </row>
    <row r="550" spans="1:14" ht="51" x14ac:dyDescent="0.25">
      <c r="A550" s="12" t="s">
        <v>34</v>
      </c>
      <c r="B550" s="2" t="s">
        <v>334</v>
      </c>
      <c r="C550" s="3" t="str">
        <f>HYPERLINK("https://transparencia-area-fim.mpce.mp.br/#/consulta/processo/pastadigital/092021000219739","09.2021.00021973-9")</f>
        <v>09.2021.00021973-9</v>
      </c>
      <c r="D550" s="4">
        <v>45565</v>
      </c>
      <c r="E550" s="16" t="str">
        <f>HYPERLINK("https://www8.mpce.mp.br/Empenhos/150001/Objeto/45-2021.pdf","EMPENHO REF. ALUGUEL DE IMÓVEL ONDE FUNCIONA SEDE DE PROMOTORIAS DE JUSTIÇA DA COMARCA DE EUSÉBIO, CONF. CONTRATO 045/2021, REF. OUT/2024, POR ESTIMATIVA.")</f>
        <v>EMPENHO REF. ALUGUEL DE IMÓVEL ONDE FUNCIONA SEDE DE PROMOTORIAS DE JUSTIÇA DA COMARCA DE EUSÉBIO, CONF. CONTRATO 045/2021, REF. OUT/2024, POR ESTIMATIVA.</v>
      </c>
      <c r="F550" s="2" t="s">
        <v>116</v>
      </c>
      <c r="G550" s="5" t="str">
        <f>HYPERLINK("http://www8.mpce.mp.br/Empenhos/150501/NE/2024NE001153.pdf","2024NE001153")</f>
        <v>2024NE001153</v>
      </c>
      <c r="H550" s="6">
        <v>1640.35</v>
      </c>
      <c r="I550" s="7" t="s">
        <v>144</v>
      </c>
      <c r="J550" s="10" t="s">
        <v>145</v>
      </c>
      <c r="K550" t="str">
        <f>HYPERLINK("http://www8.mpce.mp.br/Empenhos/150501/NE/2024NE000574.pdf","2024NE000574")</f>
        <v>2024NE000574</v>
      </c>
      <c r="L550" s="13">
        <v>6564.03</v>
      </c>
      <c r="M550" t="s">
        <v>236</v>
      </c>
      <c r="N550">
        <v>49090674349</v>
      </c>
    </row>
    <row r="551" spans="1:14" ht="76.5" x14ac:dyDescent="0.25">
      <c r="A551" s="12" t="s">
        <v>34</v>
      </c>
      <c r="B551" s="2" t="s">
        <v>560</v>
      </c>
      <c r="C551" s="3" t="str">
        <f>HYPERLINK("https://transparencia-area-fim.mpce.mp.br/#/consulta/processo/pastadigital/092024000127176","09.2024.00012717-6")</f>
        <v>09.2024.00012717-6</v>
      </c>
      <c r="D551" s="4">
        <v>45426</v>
      </c>
      <c r="E551" s="16" t="s">
        <v>561</v>
      </c>
      <c r="F551" s="2" t="s">
        <v>81</v>
      </c>
      <c r="G551" s="5" t="str">
        <f>HYPERLINK("http://www8.mpce.mp.br/Empenhos/150001/NE/2024NE001154.pdf","2024NE001154")</f>
        <v>2024NE001154</v>
      </c>
      <c r="H551" s="6">
        <v>7890</v>
      </c>
      <c r="I551" s="7" t="s">
        <v>562</v>
      </c>
      <c r="J551" s="10" t="s">
        <v>864</v>
      </c>
      <c r="K551" t="str">
        <f>HYPERLINK("http://www8.mpce.mp.br/Empenhos/150501/NE/2024NE000575.pdf","2024NE000575")</f>
        <v>2024NE000575</v>
      </c>
      <c r="L551" s="13">
        <v>6000</v>
      </c>
      <c r="M551" t="s">
        <v>201</v>
      </c>
      <c r="N551">
        <v>7021062320</v>
      </c>
    </row>
    <row r="552" spans="1:14" ht="51" x14ac:dyDescent="0.25">
      <c r="A552" s="12" t="s">
        <v>34</v>
      </c>
      <c r="B552" s="2" t="s">
        <v>768</v>
      </c>
      <c r="C552" s="3" t="str">
        <f>HYPERLINK("https://transparencia-area-fim.mpce.mp.br/#/consulta/processo/pastadigital/092021000219739","09.2021.00021973-9")</f>
        <v>09.2021.00021973-9</v>
      </c>
      <c r="D552" s="4">
        <v>45565</v>
      </c>
      <c r="E552" s="16" t="str">
        <f>HYPERLINK("https://www8.mpce.mp.br/Empenhos/150001/Objeto/45-2021.pdf","EMPENHO REF. TAXAS CONDOMINIAIS DE IMÓVEL ONDE FUNCIONA SEDE DE PROMOTORIAS DE JUSTIÇA DA COMARCA DE EUSÉBIO, CONF. CONTRATO 045/2021, REF. OUT/2024, POR ESTIMATIVA.")</f>
        <v>EMPENHO REF. TAXAS CONDOMINIAIS DE IMÓVEL ONDE FUNCIONA SEDE DE PROMOTORIAS DE JUSTIÇA DA COMARCA DE EUSÉBIO, CONF. CONTRATO 045/2021, REF. OUT/2024, POR ESTIMATIVA.</v>
      </c>
      <c r="F552" s="2" t="s">
        <v>252</v>
      </c>
      <c r="G552" s="5" t="str">
        <f>HYPERLINK("http://www8.mpce.mp.br/Empenhos/150501/NE/2024NE001154.pdf","2024NE001154")</f>
        <v>2024NE001154</v>
      </c>
      <c r="H552" s="6">
        <v>499.1</v>
      </c>
      <c r="I552" s="7" t="s">
        <v>144</v>
      </c>
      <c r="J552" s="10" t="s">
        <v>145</v>
      </c>
      <c r="K552" t="str">
        <f>HYPERLINK("http://www8.mpce.mp.br/Empenhos/150501/NE/2024NE000576.pdf","2024NE000576")</f>
        <v>2024NE000576</v>
      </c>
      <c r="L552" s="13">
        <v>16554.45</v>
      </c>
      <c r="M552" t="s">
        <v>205</v>
      </c>
      <c r="N552">
        <v>34123367852</v>
      </c>
    </row>
    <row r="553" spans="1:14" ht="76.5" x14ac:dyDescent="0.25">
      <c r="A553" s="12" t="s">
        <v>34</v>
      </c>
      <c r="B553" s="2" t="s">
        <v>563</v>
      </c>
      <c r="C553" s="3" t="str">
        <f>HYPERLINK("https://transparencia-area-fim.mpce.mp.br/#/consulta/processo/pastadigital/092024000039686","09.2024.00003968-6")</f>
        <v>09.2024.00003968-6</v>
      </c>
      <c r="D553" s="4">
        <v>45427</v>
      </c>
      <c r="E553" s="16" t="s">
        <v>564</v>
      </c>
      <c r="F553" s="2" t="s">
        <v>565</v>
      </c>
      <c r="G553" s="5" t="str">
        <f>HYPERLINK("http://www8.mpce.mp.br/Empenhos/150001/NE/2024NE001155.pdf","2024NE001155")</f>
        <v>2024NE001155</v>
      </c>
      <c r="H553" s="6">
        <v>847</v>
      </c>
      <c r="I553" s="7" t="s">
        <v>566</v>
      </c>
      <c r="J553" s="10" t="s">
        <v>865</v>
      </c>
      <c r="K553" t="str">
        <f>HYPERLINK("http://www8.mpce.mp.br/Empenhos/150501/NE/2024NE000577.pdf","2024NE000577")</f>
        <v>2024NE000577</v>
      </c>
      <c r="L553" s="13">
        <v>7200</v>
      </c>
      <c r="M553" t="s">
        <v>209</v>
      </c>
      <c r="N553">
        <v>25876988391</v>
      </c>
    </row>
    <row r="554" spans="1:14" ht="63.75" x14ac:dyDescent="0.25">
      <c r="A554" s="12" t="s">
        <v>34</v>
      </c>
      <c r="B554" s="2" t="s">
        <v>563</v>
      </c>
      <c r="C554" s="3" t="str">
        <f>HYPERLINK("https://transparencia-area-fim.mpce.mp.br/#/consulta/processo/pastadigital/092024000039686","09.2024.00003968-6")</f>
        <v>09.2024.00003968-6</v>
      </c>
      <c r="D554" s="4">
        <v>45427</v>
      </c>
      <c r="E554" s="16" t="s">
        <v>567</v>
      </c>
      <c r="F554" s="2" t="s">
        <v>565</v>
      </c>
      <c r="G554" s="5" t="str">
        <f>HYPERLINK("http://www8.mpce.mp.br/Empenhos/150001/NE/2024NE001156.pdf","2024NE001156")</f>
        <v>2024NE001156</v>
      </c>
      <c r="H554" s="6">
        <v>38108.46</v>
      </c>
      <c r="I554" s="7" t="s">
        <v>568</v>
      </c>
      <c r="J554" s="10" t="s">
        <v>866</v>
      </c>
      <c r="K554" t="str">
        <f>HYPERLINK("http://www8.mpce.mp.br/Empenhos/150501/NE/2024NE000578.pdf","2024NE000578")</f>
        <v>2024NE000578</v>
      </c>
      <c r="L554" s="13">
        <v>8469.81</v>
      </c>
      <c r="M554" t="s">
        <v>193</v>
      </c>
      <c r="N554">
        <v>35165286215</v>
      </c>
    </row>
    <row r="555" spans="1:14" ht="51" x14ac:dyDescent="0.25">
      <c r="A555" s="12" t="s">
        <v>34</v>
      </c>
      <c r="B555" s="2" t="s">
        <v>768</v>
      </c>
      <c r="C555" s="3" t="str">
        <f>HYPERLINK("https://transparencia-area-fim.mpce.mp.br/#/consulta/processo/pastadigital/092021000079244","09.2021.00007924-4")</f>
        <v>09.2021.00007924-4</v>
      </c>
      <c r="D555" s="4">
        <v>45565</v>
      </c>
      <c r="E555" s="16" t="str">
        <f>HYPERLINK("https://www8.mpce.mp.br/Empenhos/150001/Objeto/27-2021.pdf","EMPENHO REF. TAXAS CONDOMINIAIS DE IMÓVEL ONDE FUNCIONA SEDE DE PROMOTORIAS DE JUSTIÇA DA COMARCA DE EUSÉBIO, CONF. CONTRATO 027/2021, REF. OUT/2024, POR ESTIMATIVA.")</f>
        <v>EMPENHO REF. TAXAS CONDOMINIAIS DE IMÓVEL ONDE FUNCIONA SEDE DE PROMOTORIAS DE JUSTIÇA DA COMARCA DE EUSÉBIO, CONF. CONTRATO 027/2021, REF. OUT/2024, POR ESTIMATIVA.</v>
      </c>
      <c r="F555" s="2" t="s">
        <v>231</v>
      </c>
      <c r="G555" s="5" t="str">
        <f>HYPERLINK("http://www8.mpce.mp.br/Empenhos/150501/NE/2024NE001157.pdf","2024NE001157")</f>
        <v>2024NE001157</v>
      </c>
      <c r="H555" s="6">
        <v>1605.66</v>
      </c>
      <c r="I555" s="7" t="s">
        <v>144</v>
      </c>
      <c r="J555" s="10" t="s">
        <v>145</v>
      </c>
      <c r="K555" t="str">
        <f>HYPERLINK("http://www8.mpce.mp.br/Empenhos/150501/NE/2024NE000579.pdf","2024NE000579")</f>
        <v>2024NE000579</v>
      </c>
      <c r="L555" s="13">
        <v>16638.3</v>
      </c>
      <c r="M555" t="s">
        <v>144</v>
      </c>
      <c r="N555">
        <v>22588967000179</v>
      </c>
    </row>
    <row r="556" spans="1:14" ht="51" x14ac:dyDescent="0.25">
      <c r="A556" s="12" t="s">
        <v>34</v>
      </c>
      <c r="B556" s="2" t="s">
        <v>768</v>
      </c>
      <c r="C556" s="3" t="str">
        <f>HYPERLINK("https://transparencia-area-fim.mpce.mp.br/#/consulta/processo/pastadigital/092021000079244","09.2021.00007924-4")</f>
        <v>09.2021.00007924-4</v>
      </c>
      <c r="D556" s="4">
        <v>45565</v>
      </c>
      <c r="E556" s="16" t="str">
        <f>HYPERLINK("https://www8.mpce.mp.br/Empenhos/150001/Objeto/27-2021.pdf","EMPENHO REF. ALUGUEL DE IMÓVEL ONDE FUNCIONA SEDE DE PROMOTORIAS DE JUSTIÇA DA COMARCA DE EUSÉBIO, CONF. CONTRATO 027/2021, REF. OUT/2024, POR ESTIMATIVA.")</f>
        <v>EMPENHO REF. ALUGUEL DE IMÓVEL ONDE FUNCIONA SEDE DE PROMOTORIAS DE JUSTIÇA DA COMARCA DE EUSÉBIO, CONF. CONTRATO 027/2021, REF. OUT/2024, POR ESTIMATIVA.</v>
      </c>
      <c r="F556" s="2" t="s">
        <v>116</v>
      </c>
      <c r="G556" s="5" t="str">
        <f>HYPERLINK("http://www8.mpce.mp.br/Empenhos/150501/NE/2024NE001158.pdf","2024NE001158")</f>
        <v>2024NE001158</v>
      </c>
      <c r="H556" s="6">
        <v>5546.1</v>
      </c>
      <c r="I556" s="7" t="s">
        <v>144</v>
      </c>
      <c r="J556" s="10" t="s">
        <v>145</v>
      </c>
      <c r="K556" t="str">
        <f>HYPERLINK("http://www8.mpce.mp.br/Empenhos/150501/NE/2024NE000580.pdf","2024NE000580")</f>
        <v>2024NE000580</v>
      </c>
      <c r="L556" s="13">
        <v>4463.6400000000003</v>
      </c>
      <c r="M556" t="s">
        <v>144</v>
      </c>
      <c r="N556">
        <v>22588967000179</v>
      </c>
    </row>
    <row r="557" spans="1:14" ht="51" x14ac:dyDescent="0.25">
      <c r="A557" s="12" t="s">
        <v>34</v>
      </c>
      <c r="B557" s="2" t="s">
        <v>798</v>
      </c>
      <c r="C557" s="3" t="str">
        <f>HYPERLINK("https://transparencia-area-fim.mpce.mp.br/#/consulta/processo/pastadigital/092021000166790","09.2021.00016679-0")</f>
        <v>09.2021.00016679-0</v>
      </c>
      <c r="D557" s="4">
        <v>45565</v>
      </c>
      <c r="E557" s="16" t="str">
        <f>HYPERLINK("https://www8.mpce.mp.br/Empenhos/150001/Objeto/24-2022.pdf","EMPENHO REF. ALUGUEL DE IMÓVEL SITUADO EM HORIZONTE-CE, ONDE FUNCIONA SEDE DE PROMOTORIAS DE JUSTIÇA DAQUELA COMARCA, CONF. CONTRATO 024/2022, REF. OUT/2024, POR ESTIMATIVA.")</f>
        <v>EMPENHO REF. ALUGUEL DE IMÓVEL SITUADO EM HORIZONTE-CE, ONDE FUNCIONA SEDE DE PROMOTORIAS DE JUSTIÇA DAQUELA COMARCA, CONF. CONTRATO 024/2022, REF. OUT/2024, POR ESTIMATIVA.</v>
      </c>
      <c r="F557" s="2" t="s">
        <v>161</v>
      </c>
      <c r="G557" s="5" t="str">
        <f>HYPERLINK("http://www8.mpce.mp.br/Empenhos/150501/NE/2024NE001159.pdf","2024NE001159")</f>
        <v>2024NE001159</v>
      </c>
      <c r="H557" s="6">
        <v>2400</v>
      </c>
      <c r="I557" s="7" t="s">
        <v>209</v>
      </c>
      <c r="J557" s="10" t="s">
        <v>210</v>
      </c>
      <c r="K557" t="str">
        <f>HYPERLINK("http://www8.mpce.mp.br/Empenhos/150501/NE/2024NE000581.pdf","2024NE000581")</f>
        <v>2024NE000581</v>
      </c>
      <c r="L557" s="13">
        <v>4921.05</v>
      </c>
      <c r="M557" t="s">
        <v>144</v>
      </c>
      <c r="N557">
        <v>22588967000179</v>
      </c>
    </row>
    <row r="558" spans="1:14" ht="38.25" x14ac:dyDescent="0.25">
      <c r="A558" s="12" t="s">
        <v>9</v>
      </c>
      <c r="B558" s="2" t="s">
        <v>433</v>
      </c>
      <c r="C558" s="3" t="str">
        <f>HYPERLINK("https://transparencia-area-fim.mpce.mp.br/#/consulta/processo/pastadigital/092024000112517","09.2024.00011251-7")</f>
        <v>09.2024.00011251-7</v>
      </c>
      <c r="D558" s="4">
        <v>45428</v>
      </c>
      <c r="E558" s="16" t="s">
        <v>569</v>
      </c>
      <c r="F558" s="2" t="s">
        <v>59</v>
      </c>
      <c r="G558" s="5" t="str">
        <f>HYPERLINK("http://www8.mpce.mp.br/Empenhos/150001/NE/2024NE001159.pdf","2024NE001159")</f>
        <v>2024NE001159</v>
      </c>
      <c r="H558" s="6">
        <v>90000</v>
      </c>
      <c r="I558" s="7" t="s">
        <v>104</v>
      </c>
      <c r="J558" s="10" t="s">
        <v>105</v>
      </c>
      <c r="K558" t="str">
        <f>HYPERLINK("http://www8.mpce.mp.br/Empenhos/150501/NE/2024NE000582.pdf","2024NE000582")</f>
        <v>2024NE000582</v>
      </c>
      <c r="L558">
        <v>729.87</v>
      </c>
      <c r="M558" t="s">
        <v>144</v>
      </c>
      <c r="N558">
        <v>22588967000179</v>
      </c>
    </row>
    <row r="559" spans="1:14" ht="51" x14ac:dyDescent="0.25">
      <c r="A559" s="12" t="s">
        <v>34</v>
      </c>
      <c r="B559" s="2" t="s">
        <v>768</v>
      </c>
      <c r="C559" s="3" t="str">
        <f>HYPERLINK("https://transparencia-area-fim.mpce.mp.br/#/consulta/processo/pastadigital/092021000121226","09.2021.00012122-6")</f>
        <v>09.2021.00012122-6</v>
      </c>
      <c r="D559" s="4">
        <v>45565</v>
      </c>
      <c r="E559" s="16" t="str">
        <f>HYPERLINK("https://www8.mpce.mp.br/Empenhos/150001/Objeto/34-2021.pdf","EMPENHO REF. ALUGUEL DE IMÓVEL SITUADO EM SÃO BENEDITO-CE, ONDE FUNCIONA SEDE DE PROMOTORIAS DE JUSTIÇA DAQUELA COMARCA, CONF. CONTRATO 034/2021, REF. OUT/2024, POR ESTIMATIVA.")</f>
        <v>EMPENHO REF. ALUGUEL DE IMÓVEL SITUADO EM SÃO BENEDITO-CE, ONDE FUNCIONA SEDE DE PROMOTORIAS DE JUSTIÇA DAQUELA COMARCA, CONF. CONTRATO 034/2021, REF. OUT/2024, POR ESTIMATIVA.</v>
      </c>
      <c r="F559" s="2" t="s">
        <v>161</v>
      </c>
      <c r="G559" s="5" t="str">
        <f>HYPERLINK("http://www8.mpce.mp.br/Empenhos/150501/NE/2024NE001160.pdf","2024NE001160")</f>
        <v>2024NE001160</v>
      </c>
      <c r="H559" s="6">
        <v>2823.27</v>
      </c>
      <c r="I559" s="7" t="s">
        <v>193</v>
      </c>
      <c r="J559" s="10" t="s">
        <v>194</v>
      </c>
      <c r="K559" t="str">
        <f>HYPERLINK("http://www8.mpce.mp.br/Empenhos/150501/NE/2024NE000583.pdf","2024NE000583")</f>
        <v>2024NE000583</v>
      </c>
      <c r="L559">
        <v>729.87</v>
      </c>
      <c r="M559" t="s">
        <v>144</v>
      </c>
      <c r="N559">
        <v>22588967000179</v>
      </c>
    </row>
    <row r="560" spans="1:14" ht="51" x14ac:dyDescent="0.25">
      <c r="A560" s="12" t="s">
        <v>34</v>
      </c>
      <c r="B560" s="2" t="s">
        <v>768</v>
      </c>
      <c r="C560" s="3" t="str">
        <f>HYPERLINK("http://www8.mpce.mp.br/Dispensa/3642820165.pdf","36428/2016-5")</f>
        <v>36428/2016-5</v>
      </c>
      <c r="D560" s="4">
        <v>45565</v>
      </c>
      <c r="E560" s="16" t="str">
        <f>HYPERLINK("https://www8.mpce.mp.br/Empenhos/150001/Objeto/26-2017.pdf","EMPENHO REF. ALUGUEL DE IMÓVEL ONDE FUNCIONA SEDE DE PROMOTORIAS DE JUSTIÇA DA COMARCA DE MARANGUAPE, CONF. CONTRATO 026/2017, REF. OUT/2024, POR ESTIMATIVA.")</f>
        <v>EMPENHO REF. ALUGUEL DE IMÓVEL ONDE FUNCIONA SEDE DE PROMOTORIAS DE JUSTIÇA DA COMARCA DE MARANGUAPE, CONF. CONTRATO 026/2017, REF. OUT/2024, POR ESTIMATIVA.</v>
      </c>
      <c r="F560" s="2" t="s">
        <v>161</v>
      </c>
      <c r="G560" s="5" t="str">
        <f>HYPERLINK("http://www8.mpce.mp.br/Empenhos/150501/NE/2024NE001161.pdf","2024NE001161")</f>
        <v>2024NE001161</v>
      </c>
      <c r="H560" s="6">
        <v>5518.15</v>
      </c>
      <c r="I560" s="7" t="s">
        <v>205</v>
      </c>
      <c r="J560" s="10" t="s">
        <v>206</v>
      </c>
      <c r="K560" t="str">
        <f>HYPERLINK("http://www8.mpce.mp.br/Empenhos/150501/NE/2024NE000584.pdf","2024NE000584")</f>
        <v>2024NE000584</v>
      </c>
      <c r="L560">
        <v>152.37</v>
      </c>
      <c r="M560" t="s">
        <v>144</v>
      </c>
      <c r="N560">
        <v>22588967000179</v>
      </c>
    </row>
    <row r="561" spans="1:14" ht="51" x14ac:dyDescent="0.25">
      <c r="A561" s="12" t="s">
        <v>34</v>
      </c>
      <c r="B561" s="2" t="s">
        <v>768</v>
      </c>
      <c r="C561" s="3" t="str">
        <f>HYPERLINK("https://transparencia-area-fim.mpce.mp.br/#/consulta/processo/pastadigital/092021000155016","09.2021.00015501-6")</f>
        <v>09.2021.00015501-6</v>
      </c>
      <c r="D561" s="4">
        <v>45565</v>
      </c>
      <c r="E561" s="16" t="str">
        <f>HYPERLINK("https://www8.mpce.mp.br/Empenhos/150001/Objeto/26-2021.pdf","EMPENHO REF. ALUGUEL DE IMÓVEL SITUADO EM BREJO SANTO-CE, ONDE FUNCIONA SEDE DE PROMOTORIAS DE JUSTIÇA DAQUELA COMARCA, CONF. CONTRATO 026/2021, REF. OUT/2024, POR ESTIMATIVA.")</f>
        <v>EMPENHO REF. ALUGUEL DE IMÓVEL SITUADO EM BREJO SANTO-CE, ONDE FUNCIONA SEDE DE PROMOTORIAS DE JUSTIÇA DAQUELA COMARCA, CONF. CONTRATO 026/2021, REF. OUT/2024, POR ESTIMATIVA.</v>
      </c>
      <c r="F561" s="2" t="s">
        <v>161</v>
      </c>
      <c r="G561" s="5" t="str">
        <f>HYPERLINK("http://www8.mpce.mp.br/Empenhos/150501/NE/2024NE001162.pdf","2024NE001162")</f>
        <v>2024NE001162</v>
      </c>
      <c r="H561" s="6">
        <v>2601.5500000000002</v>
      </c>
      <c r="I561" s="7" t="s">
        <v>203</v>
      </c>
      <c r="J561" s="10" t="s">
        <v>204</v>
      </c>
      <c r="K561" t="str">
        <f>HYPERLINK("http://www8.mpce.mp.br/Empenhos/150501/NE/2024NE000585.pdf","2024NE000585")</f>
        <v>2024NE000585</v>
      </c>
      <c r="L561">
        <v>152.37</v>
      </c>
      <c r="M561" t="s">
        <v>144</v>
      </c>
      <c r="N561">
        <v>22588967000179</v>
      </c>
    </row>
    <row r="562" spans="1:14" ht="51" x14ac:dyDescent="0.25">
      <c r="A562" s="12" t="s">
        <v>9</v>
      </c>
      <c r="B562" s="2" t="s">
        <v>775</v>
      </c>
      <c r="C562" s="3" t="str">
        <f>HYPERLINK("https://transparencia-area-fim.mpce.mp.br/#/consulta/processo/pastadigital/092022000409094","09.2022.00040909-4")</f>
        <v>09.2022.00040909-4</v>
      </c>
      <c r="D562" s="4">
        <v>45565</v>
      </c>
      <c r="E562" s="16" t="str">
        <f>HYPERLINK("https://www8.mpce.mp.br/Empenhos/150001/Objeto/41-2023.pdf","EMPENHO REF. ALUGUEL DE IMÓVEL ONDE FUNCIONA SEDE DE PROMOTORIAS DE JUSTIÇA DE GUARACIABA DO NORTE, CONF. CONTRATO 041/2023, REF. OUT/2024, POR ESTIMATIVA.")</f>
        <v>EMPENHO REF. ALUGUEL DE IMÓVEL ONDE FUNCIONA SEDE DE PROMOTORIAS DE JUSTIÇA DE GUARACIABA DO NORTE, CONF. CONTRATO 041/2023, REF. OUT/2024, POR ESTIMATIVA.</v>
      </c>
      <c r="F562" s="2" t="s">
        <v>161</v>
      </c>
      <c r="G562" s="5" t="str">
        <f>HYPERLINK("http://www8.mpce.mp.br/Empenhos/150501/NE/2024NE001163.pdf","2024NE001163")</f>
        <v>2024NE001163</v>
      </c>
      <c r="H562" s="6">
        <v>1550</v>
      </c>
      <c r="I562" s="7" t="s">
        <v>184</v>
      </c>
      <c r="J562" s="10" t="s">
        <v>185</v>
      </c>
      <c r="K562" t="str">
        <f>HYPERLINK("http://www8.mpce.mp.br/Empenhos/150501/NE/2024NE000586.pdf","2024NE000586")</f>
        <v>2024NE000586</v>
      </c>
      <c r="L562" s="13">
        <v>1387.47</v>
      </c>
      <c r="M562" t="s">
        <v>144</v>
      </c>
      <c r="N562">
        <v>22588967000179</v>
      </c>
    </row>
    <row r="563" spans="1:14" ht="38.25" x14ac:dyDescent="0.25">
      <c r="A563" s="12" t="s">
        <v>34</v>
      </c>
      <c r="B563" s="2" t="s">
        <v>774</v>
      </c>
      <c r="C563" s="3" t="str">
        <f>HYPERLINK("https://transparencia-area-fim.mpce.mp.br/#/consulta/processo/pastadigital/092021000157125","09.2021.00015712-5")</f>
        <v>09.2021.00015712-5</v>
      </c>
      <c r="D563" s="4">
        <v>45566</v>
      </c>
      <c r="E563" s="16" t="str">
        <f>HYPERLINK("https://www8.mpce.mp.br/Empenhos/150001/Objeto/32-2021.pdf","EMPENHO REF. SEGURO DE VIDA DE 800 (OITOCENTOS) ESTAGIÁRIOS DO MPCE, CONF. CONTRATO 032/2021, REF. OUT, NOV E SET/2024, POR ESTIMATIVA. ")</f>
        <v xml:space="preserve">EMPENHO REF. SEGURO DE VIDA DE 800 (OITOCENTOS) ESTAGIÁRIOS DO MPCE, CONF. CONTRATO 032/2021, REF. OUT, NOV E SET/2024, POR ESTIMATIVA. </v>
      </c>
      <c r="F563" s="2" t="s">
        <v>61</v>
      </c>
      <c r="G563" s="5" t="str">
        <f>HYPERLINK("http://www8.mpce.mp.br/Empenhos/150501/NE/2024NE001164.pdf","2024NE001164")</f>
        <v>2024NE001164</v>
      </c>
      <c r="H563" s="6">
        <v>456</v>
      </c>
      <c r="I563" s="7" t="s">
        <v>38</v>
      </c>
      <c r="J563" s="10" t="s">
        <v>39</v>
      </c>
      <c r="K563" t="str">
        <f>HYPERLINK("http://www8.mpce.mp.br/Empenhos/150501/NE/2024NE000587.pdf","2024NE000587")</f>
        <v>2024NE000587</v>
      </c>
      <c r="L563">
        <v>152.32</v>
      </c>
      <c r="M563" t="s">
        <v>158</v>
      </c>
      <c r="N563">
        <v>5569807000163</v>
      </c>
    </row>
    <row r="564" spans="1:14" ht="51" x14ac:dyDescent="0.25">
      <c r="A564" s="12" t="s">
        <v>34</v>
      </c>
      <c r="B564" s="2" t="s">
        <v>799</v>
      </c>
      <c r="C564" s="3" t="str">
        <f>HYPERLINK("https://transparencia-area-fim.mpce.mp.br/#/consulta/processo/pastadigital/092021000349974","09.2021.00034997-4")</f>
        <v>09.2021.00034997-4</v>
      </c>
      <c r="D564" s="4">
        <v>45566</v>
      </c>
      <c r="E564" s="16" t="str">
        <f>HYPERLINK("https://www8.mpce.mp.br/Empenhos/150001/Objeto/01-2022.pdf","EMPENHO REF. SERVIÇO DE DISPONIBILIZAÇÃO DE SOLUÇÃO TECNOLÓGICA (SAAS) MULTICANAL, CONF. CONTRATO 001/2022, REF. AGO E SET/2024, CONF. SOLICITAÇÕES DE FLS. 152 E 215.")</f>
        <v>EMPENHO REF. SERVIÇO DE DISPONIBILIZAÇÃO DE SOLUÇÃO TECNOLÓGICA (SAAS) MULTICANAL, CONF. CONTRATO 001/2022, REF. AGO E SET/2024, CONF. SOLICITAÇÕES DE FLS. 152 E 215.</v>
      </c>
      <c r="F564" s="2" t="s">
        <v>608</v>
      </c>
      <c r="G564" s="5" t="str">
        <f>HYPERLINK("http://www8.mpce.mp.br/Empenhos/150501/NE/2024NE001172.pdf","2024NE001172")</f>
        <v>2024NE001172</v>
      </c>
      <c r="H564" s="6">
        <v>27600</v>
      </c>
      <c r="I564" s="7" t="s">
        <v>244</v>
      </c>
      <c r="J564" s="10" t="s">
        <v>245</v>
      </c>
      <c r="K564" t="str">
        <f>HYPERLINK("http://www8.mpce.mp.br/Empenhos/150501/NE/2024NE000588.pdf","2024NE000588")</f>
        <v>2024NE000588</v>
      </c>
      <c r="L564" s="13">
        <v>7804.65</v>
      </c>
      <c r="M564" t="s">
        <v>203</v>
      </c>
      <c r="N564">
        <v>5817870304</v>
      </c>
    </row>
    <row r="565" spans="1:14" ht="51" x14ac:dyDescent="0.25">
      <c r="A565" s="12" t="s">
        <v>34</v>
      </c>
      <c r="B565" s="2" t="s">
        <v>768</v>
      </c>
      <c r="C565" s="3" t="str">
        <f>HYPERLINK("http://www8.mpce.mp.br/Dispensa/2004820193.pdf","20048/2019-3")</f>
        <v>20048/2019-3</v>
      </c>
      <c r="D565" s="4">
        <v>45568</v>
      </c>
      <c r="E565" s="16" t="str">
        <f>HYPERLINK("https://www8.mpce.mp.br/Empenhos/150001/Objeto/84-2019.pdf","EMPENHO REF. IPTU DE IMÓVEL EM MOMBAÇA-CE, ONDE FUNCIONA SEDE DE PROMOTORIAS DE JUSTIÇA DAQUELA COMARCA, CONF. CONTRATO 084/2019, REF. 2024 - PARCELA ÚNICA.")</f>
        <v>EMPENHO REF. IPTU DE IMÓVEL EM MOMBAÇA-CE, ONDE FUNCIONA SEDE DE PROMOTORIAS DE JUSTIÇA DAQUELA COMARCA, CONF. CONTRATO 084/2019, REF. 2024 - PARCELA ÚNICA.</v>
      </c>
      <c r="F565" s="2" t="s">
        <v>223</v>
      </c>
      <c r="G565" s="5" t="str">
        <f>HYPERLINK("http://www8.mpce.mp.br/Empenhos/150501/NE/2024NE001181.pdf","2024NE001181")</f>
        <v>2024NE001181</v>
      </c>
      <c r="H565" s="6">
        <v>673.93</v>
      </c>
      <c r="I565" s="7" t="s">
        <v>162</v>
      </c>
      <c r="J565" s="10" t="s">
        <v>163</v>
      </c>
      <c r="K565" t="str">
        <f>HYPERLINK("http://www8.mpce.mp.br/Empenhos/150501/NE/2024NE000589.pdf","2024NE000589")</f>
        <v>2024NE000589</v>
      </c>
      <c r="L565" s="13">
        <v>16200</v>
      </c>
      <c r="M565" t="s">
        <v>156</v>
      </c>
      <c r="N565">
        <v>33457311000133</v>
      </c>
    </row>
    <row r="566" spans="1:14" ht="38.25" x14ac:dyDescent="0.25">
      <c r="A566" s="12" t="s">
        <v>9</v>
      </c>
      <c r="B566" s="2" t="s">
        <v>429</v>
      </c>
      <c r="C566" s="3" t="str">
        <f>HYPERLINK("https://transparencia-area-fim.mpce.mp.br/#/consulta/processo/pastadigital/092021000000456","09.2021.00000045-6")</f>
        <v>09.2021.00000045-6</v>
      </c>
      <c r="D566" s="4">
        <v>45569</v>
      </c>
      <c r="E566" s="16" t="str">
        <f>HYPERLINK("https://www8.mpce.mp.br/Empenhos/150001/Objeto/02-2021.pdf","EMPENHO REF. SUPORTE TÉCNICO DA SOLUÇÃO GUARDIÃO WEB-BY NGC, CONF. CONTRATO 002/2021, REF. OUT/2024, POR ESTIMATIVA.")</f>
        <v>EMPENHO REF. SUPORTE TÉCNICO DA SOLUÇÃO GUARDIÃO WEB-BY NGC, CONF. CONTRATO 002/2021, REF. OUT/2024, POR ESTIMATIVA.</v>
      </c>
      <c r="F566" s="2" t="s">
        <v>60</v>
      </c>
      <c r="G566" s="5" t="str">
        <f>HYPERLINK("http://www8.mpce.mp.br/Empenhos/150501/NE/2024NE001184.pdf","2024NE001184")</f>
        <v>2024NE001184</v>
      </c>
      <c r="H566" s="6">
        <v>18883.91</v>
      </c>
      <c r="I566" s="7" t="s">
        <v>22</v>
      </c>
      <c r="J566" s="10" t="s">
        <v>23</v>
      </c>
      <c r="K566" t="str">
        <f>HYPERLINK("http://www8.mpce.mp.br/Empenhos/150501/NE/2024NE000590.pdf","2024NE000590")</f>
        <v>2024NE000590</v>
      </c>
      <c r="L566" s="13">
        <v>3600</v>
      </c>
      <c r="M566" t="s">
        <v>182</v>
      </c>
      <c r="N566">
        <v>31014895391</v>
      </c>
    </row>
    <row r="567" spans="1:14" ht="63.75" x14ac:dyDescent="0.25">
      <c r="A567" s="12" t="s">
        <v>34</v>
      </c>
      <c r="B567" s="2" t="s">
        <v>570</v>
      </c>
      <c r="C567" s="3" t="str">
        <f>HYPERLINK("https://transparencia-area-fim.mpce.mp.br/#/consulta/processo/pastadigital/092024000139383","09.2024.00013938-3")</f>
        <v>09.2024.00013938-3</v>
      </c>
      <c r="D567" s="4">
        <v>45429</v>
      </c>
      <c r="E567" s="16" t="s">
        <v>571</v>
      </c>
      <c r="F567" s="2" t="s">
        <v>420</v>
      </c>
      <c r="G567" s="5" t="str">
        <f>HYPERLINK("http://www8.mpce.mp.br/Empenhos/150001/NE/2024NE001186.pdf","2024NE001186")</f>
        <v>2024NE001186</v>
      </c>
      <c r="H567" s="6">
        <v>1450</v>
      </c>
      <c r="I567" s="7" t="s">
        <v>572</v>
      </c>
      <c r="J567" s="10" t="s">
        <v>867</v>
      </c>
      <c r="K567" t="str">
        <f>HYPERLINK("http://www8.mpce.mp.br/Empenhos/150501/NE/2024NE000591.pdf","2024NE000591")</f>
        <v>2024NE000591</v>
      </c>
      <c r="L567" s="13">
        <v>4953.45</v>
      </c>
      <c r="M567" t="s">
        <v>207</v>
      </c>
      <c r="N567">
        <v>50937197300</v>
      </c>
    </row>
    <row r="568" spans="1:14" ht="63.75" x14ac:dyDescent="0.25">
      <c r="A568" s="12" t="s">
        <v>34</v>
      </c>
      <c r="B568" s="2" t="s">
        <v>573</v>
      </c>
      <c r="C568" s="3" t="str">
        <f>HYPERLINK("https://transparencia-area-fim.mpce.mp.br/#/consulta/processo/pastadigital/092024000168534","09.2024.00016853-4")</f>
        <v>09.2024.00016853-4</v>
      </c>
      <c r="D568" s="4">
        <v>45429</v>
      </c>
      <c r="E568" s="16" t="str">
        <f>HYPERLINK("https://www8.mpce.mp.br/Empenhos/150001/Objeto/49-2023.pdf","EMPENHO REF. SERVIÇO DE FORNECIMENTO DE ENERGIA ELÉTRICA, EM ALTA TENSÃO, AO PRÉDIO ONDE FUNCIONA SEDE DE PROMOTORIAS DE JUSTIÇA DE JUAZEIRO DO NORTE, CONF. CONTRATO 449/2023/ENEL E DISPENSA 005/2023, REF. ABR, MAI E JUN/2024, POR ESTIMATIVA.")</f>
        <v>EMPENHO REF. SERVIÇO DE FORNECIMENTO DE ENERGIA ELÉTRICA, EM ALTA TENSÃO, AO PRÉDIO ONDE FUNCIONA SEDE DE PROMOTORIAS DE JUSTIÇA DE JUAZEIRO DO NORTE, CONF. CONTRATO 449/2023/ENEL E DISPENSA 005/2023, REF. ABR, MAI E JUN/2024, POR ESTIMATIVA.</v>
      </c>
      <c r="F568" s="2" t="s">
        <v>296</v>
      </c>
      <c r="G568" s="5" t="str">
        <f>HYPERLINK("http://www8.mpce.mp.br/Empenhos/150001/NE/2024NE001190.pdf","2024NE001190")</f>
        <v>2024NE001190</v>
      </c>
      <c r="H568" s="6">
        <v>45000</v>
      </c>
      <c r="I568" s="7" t="s">
        <v>297</v>
      </c>
      <c r="J568" s="10" t="s">
        <v>832</v>
      </c>
      <c r="K568" t="str">
        <f>HYPERLINK("http://www8.mpce.mp.br/Empenhos/150501/NE/2024NE000592.pdf","2024NE000592")</f>
        <v>2024NE000592</v>
      </c>
      <c r="L568" s="13">
        <v>4650</v>
      </c>
      <c r="M568" t="s">
        <v>184</v>
      </c>
      <c r="N568">
        <v>84738480391</v>
      </c>
    </row>
    <row r="569" spans="1:14" ht="51" x14ac:dyDescent="0.25">
      <c r="A569" s="12" t="s">
        <v>9</v>
      </c>
      <c r="B569" s="2" t="s">
        <v>800</v>
      </c>
      <c r="C569" s="3" t="str">
        <f>HYPERLINK("https://transparencia-area-fim.mpce.mp.br/#/consulta/processo/pastadigital/092023000385590","09.2023.00038559-0")</f>
        <v>09.2023.00038559-0</v>
      </c>
      <c r="D569" s="4">
        <v>45572</v>
      </c>
      <c r="E569" s="16" t="str">
        <f>HYPERLINK("https://www8.mpce.mp.br/Empenhos/150001/Objeto/25-2024.pdf","CESSÃO DE DIREITO DE USO DE SOFTWARE (PLATAFORMA DE SAÚDE MENTAL E PLATAFORMA DE SAÚDE FÍSICA), PREVISTO NO CONTRATO 025/2024/PGJ, REF. AO MÊS DE OUTUBRO DE 2024.")</f>
        <v>CESSÃO DE DIREITO DE USO DE SOFTWARE (PLATAFORMA DE SAÚDE MENTAL E PLATAFORMA DE SAÚDE FÍSICA), PREVISTO NO CONTRATO 025/2024/PGJ, REF. AO MÊS DE OUTUBRO DE 2024.</v>
      </c>
      <c r="F569" s="2" t="s">
        <v>109</v>
      </c>
      <c r="G569" s="5" t="str">
        <f>HYPERLINK("http://www8.mpce.mp.br/Empenhos/150501/NE/2024NE001199.pdf","2024NE001199")</f>
        <v>2024NE001199</v>
      </c>
      <c r="H569" s="6">
        <v>51500</v>
      </c>
      <c r="I569" s="7" t="s">
        <v>492</v>
      </c>
      <c r="J569" s="10" t="s">
        <v>845</v>
      </c>
      <c r="K569" t="str">
        <f>HYPERLINK("http://www8.mpce.mp.br/Empenhos/150501/NE/2024NE000593.pdf","2024NE000593")</f>
        <v>2024NE000593</v>
      </c>
      <c r="L569">
        <v>148.52000000000001</v>
      </c>
      <c r="M569" t="s">
        <v>240</v>
      </c>
      <c r="N569">
        <v>48444032000102</v>
      </c>
    </row>
    <row r="570" spans="1:14" ht="51" x14ac:dyDescent="0.25">
      <c r="A570" s="12" t="s">
        <v>9</v>
      </c>
      <c r="B570" s="2" t="s">
        <v>801</v>
      </c>
      <c r="C570" s="3" t="str">
        <f>HYPERLINK("https://transparencia-area-fim.mpce.mp.br/#/consulta/processo/pastadigital/092023000079630","09.2023.00007963-0")</f>
        <v>09.2023.00007963-0</v>
      </c>
      <c r="D570" s="4">
        <v>45572</v>
      </c>
      <c r="E570" s="16" t="str">
        <f>HYPERLINK("https://www8.mpce.mp.br/Empenhos/150001/Objeto/15-2023.pdf","EMPENHO REF. SERVIÇOS TÉCNICOS ESPECIALIZADOS DE PESQUISA E ACONSELHAMENTO IMPARCIAL EM TECNOLOGIA DA INFORMAÇÃO, CONF. CONTRATO 015/2023, REF. OUT/2024, POR ESTIMATIVA.")</f>
        <v>EMPENHO REF. SERVIÇOS TÉCNICOS ESPECIALIZADOS DE PESQUISA E ACONSELHAMENTO IMPARCIAL EM TECNOLOGIA DA INFORMAÇÃO, CONF. CONTRATO 015/2023, REF. OUT/2024, POR ESTIMATIVA.</v>
      </c>
      <c r="F570" s="2" t="s">
        <v>109</v>
      </c>
      <c r="G570" s="5" t="str">
        <f>HYPERLINK("http://www8.mpce.mp.br/Empenhos/150501/NE/2024NE001204.pdf","2024NE001204")</f>
        <v>2024NE001204</v>
      </c>
      <c r="H570" s="6">
        <v>65600</v>
      </c>
      <c r="I570" s="7" t="s">
        <v>113</v>
      </c>
      <c r="J570" s="10" t="s">
        <v>114</v>
      </c>
      <c r="K570" t="str">
        <f>HYPERLINK("http://www8.mpce.mp.br/Empenhos/150501/NE/2024NE000594.pdf","2024NE000594")</f>
        <v>2024NE000594</v>
      </c>
      <c r="L570" s="13">
        <v>11691.72</v>
      </c>
      <c r="M570" t="s">
        <v>188</v>
      </c>
      <c r="N570">
        <v>1728735335</v>
      </c>
    </row>
    <row r="571" spans="1:14" ht="90" x14ac:dyDescent="0.25">
      <c r="A571" s="12" t="s">
        <v>34</v>
      </c>
      <c r="B571" s="2" t="s">
        <v>802</v>
      </c>
      <c r="C571" s="3" t="str">
        <f>HYPERLINK("https://transparencia-area-fim.mpce.mp.br/#/consulta/processo/pastadigital/092021000244271","09.2021.00024427-1")</f>
        <v>09.2021.00024427-1</v>
      </c>
      <c r="D571" s="4">
        <v>45572</v>
      </c>
      <c r="E571" s="17" t="str">
        <f>HYPERLINK("https://www8.mpce.mp.br/Empenhos/150001/Objeto/17-2022.pdf","REFERENTE A PARCELA ÚNICA DO IPTU DE 2024 DAS PROMOTORIAS DE JUSTIÇA DE TIANGUÁ/CE, LOCALIZADA NA AVENIDA MANOEL DE LIMA COM A RUA JOÃO RODOLFO PESSOA,"&amp;" S/N, LOTES 01,02,03 E 04, QUADRA 15 DO LOTEAMENTO CAPITAL DA SERRA II, BAIRRO NENÊ PLÁCIDO, TIANGUÁ-CE, CONF. CONTRATO Nº 017/2022.")</f>
        <v>REFERENTE A PARCELA ÚNICA DO IPTU DE 2024 DAS PROMOTORIAS DE JUSTIÇA DE TIANGUÁ/CE, LOCALIZADA NA AVENIDA MANOEL DE LIMA COM A RUA JOÃO RODOLFO PESSOA, S/N, LOTES 01,02,03 E 04, QUADRA 15 DO LOTEAMENTO CAPITAL DA SERRA II, BAIRRO NENÊ PLÁCIDO, TIANGUÁ-CE, CONF. CONTRATO Nº 017/2022.</v>
      </c>
      <c r="F571" s="2" t="s">
        <v>252</v>
      </c>
      <c r="G571" s="5" t="str">
        <f>HYPERLINK("http://www8.mpce.mp.br/Empenhos/150501/NE/2024NE001205.pdf","2024NE001205")</f>
        <v>2024NE001205</v>
      </c>
      <c r="H571" s="6">
        <v>695.67</v>
      </c>
      <c r="I571" s="7" t="s">
        <v>175</v>
      </c>
      <c r="J571" s="10" t="s">
        <v>176</v>
      </c>
      <c r="K571" t="str">
        <f>HYPERLINK("http://www8.mpce.mp.br/Empenhos/150501/NE/2024NE000595.pdf","2024NE000595")</f>
        <v>2024NE000595</v>
      </c>
      <c r="L571" s="13">
        <v>7500</v>
      </c>
      <c r="M571" t="s">
        <v>195</v>
      </c>
      <c r="N571">
        <v>7136315387</v>
      </c>
    </row>
    <row r="572" spans="1:14" ht="51" x14ac:dyDescent="0.25">
      <c r="A572" s="12" t="s">
        <v>34</v>
      </c>
      <c r="B572" s="2" t="s">
        <v>768</v>
      </c>
      <c r="C572" s="3" t="str">
        <f>HYPERLINK("http://www8.mpce.mp.br/Dispensa/842220170.pdf","8422/20170")</f>
        <v>8422/20170</v>
      </c>
      <c r="D572" s="4">
        <v>45579</v>
      </c>
      <c r="E572" s="16" t="str">
        <f>HYPERLINK("https://www8.mpce.mp.br/Empenhos/150001/Objeto/16-2017.pdf","EMPENHO REF. REEMBOLSO DE IPTU DE IMÓVEL ONDE FUNCIONA SEDE DE PROMOTORIAS DE JUSTIÇA CRIMINAIS DE FORTALEZA, CONF. CONTRATO 016/2017, REF. 2024 - 10ª PARCELA.")</f>
        <v>EMPENHO REF. REEMBOLSO DE IPTU DE IMÓVEL ONDE FUNCIONA SEDE DE PROMOTORIAS DE JUSTIÇA CRIMINAIS DE FORTALEZA, CONF. CONTRATO 016/2017, REF. 2024 - 10ª PARCELA.</v>
      </c>
      <c r="F572" s="2" t="s">
        <v>252</v>
      </c>
      <c r="G572" s="5" t="str">
        <f>HYPERLINK("http://www8.mpce.mp.br/Empenhos/150501/NE/2024NE001249.pdf","2024NE001249")</f>
        <v>2024NE001249</v>
      </c>
      <c r="H572" s="6">
        <v>2619.0100000000002</v>
      </c>
      <c r="I572" s="7" t="s">
        <v>158</v>
      </c>
      <c r="J572" s="10" t="s">
        <v>159</v>
      </c>
      <c r="K572" t="str">
        <f>HYPERLINK("http://www8.mpce.mp.br/Empenhos/150501/NE/2024NE000596.pdf","2024NE000596")</f>
        <v>2024NE000596</v>
      </c>
      <c r="L572" s="13">
        <v>6000</v>
      </c>
      <c r="M572" t="s">
        <v>229</v>
      </c>
      <c r="N572">
        <v>78214130387</v>
      </c>
    </row>
    <row r="573" spans="1:14" ht="51" x14ac:dyDescent="0.25">
      <c r="A573" s="12" t="s">
        <v>34</v>
      </c>
      <c r="B573" s="2" t="s">
        <v>768</v>
      </c>
      <c r="C573" s="3" t="str">
        <f>HYPERLINK("http://www8.mpce.mp.br/Dispensa/842220170.pdf","8422/20170")</f>
        <v>8422/20170</v>
      </c>
      <c r="D573" s="4">
        <v>45579</v>
      </c>
      <c r="E573" s="16" t="str">
        <f>HYPERLINK("https://www8.mpce.mp.br/Empenhos/150001/Objeto/16-2017.pdf","EMPENHO REF. REEMBOLSO DE TAXA DE LIXO-TMRSU DE IMÓVEL ONDE FUNCIONA SEDE DE PROMOTORIAS DE JUSTIÇA CRIMINAIS DE FORTALEZA, CONF. CONTRATO 016/2017, REF. 2024 - 10ª PARCELA.")</f>
        <v>EMPENHO REF. REEMBOLSO DE TAXA DE LIXO-TMRSU DE IMÓVEL ONDE FUNCIONA SEDE DE PROMOTORIAS DE JUSTIÇA CRIMINAIS DE FORTALEZA, CONF. CONTRATO 016/2017, REF. 2024 - 10ª PARCELA.</v>
      </c>
      <c r="F573" s="2" t="s">
        <v>252</v>
      </c>
      <c r="G573" s="5" t="str">
        <f>HYPERLINK("http://www8.mpce.mp.br/Empenhos/150501/NE/2024NE001252.pdf","2024NE001252")</f>
        <v>2024NE001252</v>
      </c>
      <c r="H573" s="6">
        <v>152.32</v>
      </c>
      <c r="I573" s="7" t="s">
        <v>158</v>
      </c>
      <c r="J573" s="10" t="s">
        <v>159</v>
      </c>
      <c r="K573" t="str">
        <f>HYPERLINK("http://www8.mpce.mp.br/Empenhos/150501/NE/2024NE000597.pdf","2024NE000597")</f>
        <v>2024NE000597</v>
      </c>
      <c r="L573" s="13">
        <v>4500</v>
      </c>
      <c r="M573" t="s">
        <v>191</v>
      </c>
      <c r="N573">
        <v>91495059391</v>
      </c>
    </row>
    <row r="574" spans="1:14" ht="51" x14ac:dyDescent="0.25">
      <c r="A574" s="12" t="s">
        <v>34</v>
      </c>
      <c r="B574" s="2" t="s">
        <v>768</v>
      </c>
      <c r="C574" s="3" t="str">
        <f>HYPERLINK("http://www8.mpce.mp.br/Dispensa/842220170.pdf","8422/20170")</f>
        <v>8422/20170</v>
      </c>
      <c r="D574" s="4">
        <v>45579</v>
      </c>
      <c r="E574" s="16" t="str">
        <f>HYPERLINK("https://www8.mpce.mp.br/Empenhos/150001/Objeto/16-2017.pdf","EMPENHO REF. REEMBOLSO DE TAXA DE LIXO-TMRSU DE IMÓVEL ONDE FUNCIONA SEDE DE PROMOTORIAS DE JUSTIÇA CRIMINAIS DE FORTALEZA, CONF. CONTRATO 016/2017, REF. 2024 - 11ª PARCELA.")</f>
        <v>EMPENHO REF. REEMBOLSO DE TAXA DE LIXO-TMRSU DE IMÓVEL ONDE FUNCIONA SEDE DE PROMOTORIAS DE JUSTIÇA CRIMINAIS DE FORTALEZA, CONF. CONTRATO 016/2017, REF. 2024 - 11ª PARCELA.</v>
      </c>
      <c r="F574" s="2" t="s">
        <v>252</v>
      </c>
      <c r="G574" s="5" t="str">
        <f>HYPERLINK("http://www8.mpce.mp.br/Empenhos/150501/NE/2024NE001253.pdf","2024NE001253")</f>
        <v>2024NE001253</v>
      </c>
      <c r="H574" s="6">
        <v>152.32</v>
      </c>
      <c r="I574" s="7" t="s">
        <v>158</v>
      </c>
      <c r="J574" s="10" t="s">
        <v>159</v>
      </c>
      <c r="K574" t="str">
        <f>HYPERLINK("http://www8.mpce.mp.br/Empenhos/150501/NE/2024NE000599.pdf","2024NE000599")</f>
        <v>2024NE000599</v>
      </c>
      <c r="L574" s="13">
        <v>2400</v>
      </c>
      <c r="M574" t="s">
        <v>197</v>
      </c>
      <c r="N574">
        <v>19556292349</v>
      </c>
    </row>
    <row r="575" spans="1:14" ht="51" x14ac:dyDescent="0.25">
      <c r="A575" s="12" t="s">
        <v>34</v>
      </c>
      <c r="B575" s="2" t="s">
        <v>904</v>
      </c>
      <c r="C575" s="3" t="str">
        <f>HYPERLINK("https://transparencia-area-fim.mpce.mp.br/#/consulta/processo/pastadigital/092021000020552","09.2021.00002055-2")</f>
        <v>09.2021.00002055-2</v>
      </c>
      <c r="D575" s="4">
        <v>45587</v>
      </c>
      <c r="E575" s="16" t="str">
        <f>HYPERLINK("https://www8.mpce.mp.br/Empenhos/150001/Objeto/24-2021.pdf","EMPENHO REF. SERVIÇOS DE CONSULTORIA - 4ª ETAPA: OPERAÇÃO ASSISTIDA E SUPORTE TÉCNICO, CONF. CONTRATO 024/2024 E ORDEM DE SERVIÇO S/N/2024/SEGEP, REF. 2024.")</f>
        <v>EMPENHO REF. SERVIÇOS DE CONSULTORIA - 4ª ETAPA: OPERAÇÃO ASSISTIDA E SUPORTE TÉCNICO, CONF. CONTRATO 024/2024 E ORDEM DE SERVIÇO S/N/2024/SEGEP, REF. 2024.</v>
      </c>
      <c r="F575" s="2" t="s">
        <v>253</v>
      </c>
      <c r="G575" s="5" t="str">
        <f>HYPERLINK("http://www8.mpce.mp.br/Empenhos/150501/NE/2024NE001274.pdf","2024NE001274")</f>
        <v>2024NE001274</v>
      </c>
      <c r="H575" s="6">
        <v>32136.34</v>
      </c>
      <c r="I575" s="7" t="s">
        <v>905</v>
      </c>
      <c r="J575" s="10" t="s">
        <v>979</v>
      </c>
      <c r="K575" t="str">
        <f>HYPERLINK("http://www8.mpce.mp.br/Empenhos/150501/NE/2024NE000603.pdf","2024NE000603")</f>
        <v>2024NE000603</v>
      </c>
      <c r="L575" s="13">
        <v>1350000</v>
      </c>
      <c r="M575" t="s">
        <v>247</v>
      </c>
      <c r="N575">
        <v>5757597000218</v>
      </c>
    </row>
    <row r="576" spans="1:14" ht="51" x14ac:dyDescent="0.25">
      <c r="A576" s="12" t="s">
        <v>34</v>
      </c>
      <c r="B576" s="2" t="s">
        <v>904</v>
      </c>
      <c r="C576" s="3" t="str">
        <f>HYPERLINK("https://transparencia-area-fim.mpce.mp.br/#/consulta/processo/pastadigital/092021000020552","09.2021.00002055-2")</f>
        <v>09.2021.00002055-2</v>
      </c>
      <c r="D576" s="4">
        <v>45587</v>
      </c>
      <c r="E576" s="16" t="str">
        <f>HYPERLINK("https://www8.mpce.mp.br/Empenhos/150001/Objeto/24-2021.pdf","EMPENHO REF. SERVIÇOS DE CONSULTORIA - 4ª ETAPA: OPERAÇÃO ASSISTIDA E SUPORTE TÉCNICO, CONF. CONTRATO 024/2021 E ORDEM DE SERVIÇO S/N/2024/SEGEP, REF. 2024.")</f>
        <v>EMPENHO REF. SERVIÇOS DE CONSULTORIA - 4ª ETAPA: OPERAÇÃO ASSISTIDA E SUPORTE TÉCNICO, CONF. CONTRATO 024/2021 E ORDEM DE SERVIÇO S/N/2024/SEGEP, REF. 2024.</v>
      </c>
      <c r="F576" s="2" t="s">
        <v>253</v>
      </c>
      <c r="G576" s="5" t="str">
        <f>HYPERLINK("http://www8.mpce.mp.br/Empenhos/150501/NE/2024NE001277.pdf","2024NE001277")</f>
        <v>2024NE001277</v>
      </c>
      <c r="H576" s="6">
        <v>32136.34</v>
      </c>
      <c r="I576" s="7" t="s">
        <v>905</v>
      </c>
      <c r="J576" s="10" t="s">
        <v>979</v>
      </c>
      <c r="K576" t="str">
        <f>HYPERLINK("http://www8.mpce.mp.br/Empenhos/150501/NE/2024NE000603.pdf","2024NE000603")</f>
        <v>2024NE000603</v>
      </c>
      <c r="L576" s="13">
        <v>1350000</v>
      </c>
      <c r="M576" t="s">
        <v>247</v>
      </c>
      <c r="N576">
        <v>5757597000218</v>
      </c>
    </row>
    <row r="577" spans="1:14" ht="51" x14ac:dyDescent="0.25">
      <c r="A577" s="12" t="s">
        <v>34</v>
      </c>
      <c r="B577" s="2" t="s">
        <v>768</v>
      </c>
      <c r="C577" s="3" t="str">
        <f>HYPERLINK("https://transparencia-area-fim.mpce.mp.br/#/consulta/processo/pastadigital/092022000091296","09.2022.00009129-6")</f>
        <v>09.2022.00009129-6</v>
      </c>
      <c r="D577" s="4">
        <v>45587</v>
      </c>
      <c r="E577" s="16" t="str">
        <f>HYPERLINK("https://www8.mpce.mp.br/Empenhos/150001/Objeto/33-2022.pdf","EMPENHO REF. IPTU DE IMÓVEL SITUADO EM VÁRZEA ALEGRE-CE, ONDE FUNCIONA SEDE DE PROMOTORIAS DE JUSTIÇA DAQUELA COMARCA, CONF. CONTRATO 033/2022, REF. 2024 - PARCELA ÚNICA.")</f>
        <v>EMPENHO REF. IPTU DE IMÓVEL SITUADO EM VÁRZEA ALEGRE-CE, ONDE FUNCIONA SEDE DE PROMOTORIAS DE JUSTIÇA DAQUELA COMARCA, CONF. CONTRATO 033/2022, REF. 2024 - PARCELA ÚNICA.</v>
      </c>
      <c r="F577" s="2" t="s">
        <v>223</v>
      </c>
      <c r="G577" s="5" t="str">
        <f>HYPERLINK("http://www8.mpce.mp.br/Empenhos/150501/NE/2024NE001280.pdf","2024NE001280")</f>
        <v>2024NE001280</v>
      </c>
      <c r="H577" s="6">
        <v>67.59</v>
      </c>
      <c r="I577" s="7" t="s">
        <v>197</v>
      </c>
      <c r="J577" s="10" t="s">
        <v>198</v>
      </c>
      <c r="K577" t="str">
        <f>HYPERLINK("http://www8.mpce.mp.br/Empenhos/150501/NE/2024NE000617.pdf","2024NE000617")</f>
        <v>2024NE000617</v>
      </c>
      <c r="L577" s="13">
        <v>4200</v>
      </c>
      <c r="M577" t="s">
        <v>173</v>
      </c>
      <c r="N577">
        <v>50591630320</v>
      </c>
    </row>
    <row r="578" spans="1:14" ht="38.25" x14ac:dyDescent="0.25">
      <c r="A578" s="12" t="s">
        <v>34</v>
      </c>
      <c r="B578" s="2" t="s">
        <v>768</v>
      </c>
      <c r="C578" s="3" t="str">
        <f>HYPERLINK("https://transparencia-area-fim.mpce.mp.br/#/consulta/processo/pastadigital/092022000197876","09.2022.00019787-6")</f>
        <v>09.2022.00019787-6</v>
      </c>
      <c r="D578" s="4">
        <v>45587</v>
      </c>
      <c r="E578" s="16" t="str">
        <f>HYPERLINK("https://www8.mpce.mp.br/Empenhos/150001/Objeto/02-2023.pdf","EMPENHO REF. IPTU DE IMÓVEL ONDE FUNCIONA SEDE DO NÚCLEO DE MEDIAÇÃO COMUNITÁRIA DO BOM JARDIM, CONF. CONTRATO 002/2023, REF. 2024 - PARCELA ÚNICA.")</f>
        <v>EMPENHO REF. IPTU DE IMÓVEL ONDE FUNCIONA SEDE DO NÚCLEO DE MEDIAÇÃO COMUNITÁRIA DO BOM JARDIM, CONF. CONTRATO 002/2023, REF. 2024 - PARCELA ÚNICA.</v>
      </c>
      <c r="F578" s="2" t="s">
        <v>252</v>
      </c>
      <c r="G578" s="5" t="str">
        <f>HYPERLINK("http://www8.mpce.mp.br/Empenhos/150501/NE/2024NE001281.pdf","2024NE001281")</f>
        <v>2024NE001281</v>
      </c>
      <c r="H578" s="6">
        <v>651.95000000000005</v>
      </c>
      <c r="I578" s="7" t="s">
        <v>123</v>
      </c>
      <c r="J578" s="10" t="s">
        <v>124</v>
      </c>
      <c r="K578" t="str">
        <f>HYPERLINK("http://www8.mpce.mp.br/Empenhos/150001/NE/2024NE000619.pdf","2024NE000619")</f>
        <v>2024NE000619</v>
      </c>
      <c r="L578">
        <v>117.84</v>
      </c>
      <c r="M578" t="s">
        <v>92</v>
      </c>
      <c r="N578">
        <v>7620701000172</v>
      </c>
    </row>
    <row r="579" spans="1:14" ht="51" x14ac:dyDescent="0.25">
      <c r="A579" s="12" t="s">
        <v>34</v>
      </c>
      <c r="B579" s="2" t="s">
        <v>768</v>
      </c>
      <c r="C579" s="3" t="str">
        <f>HYPERLINK("https://transparencia-area-fim.mpce.mp.br/#/consulta/processo/pastadigital/092022000197876","09.2022.00019787-6")</f>
        <v>09.2022.00019787-6</v>
      </c>
      <c r="D579" s="4">
        <v>45587</v>
      </c>
      <c r="E579" s="16" t="str">
        <f>HYPERLINK("https://www8.mpce.mp.br/Empenhos/150001/Objeto/02-2023.pdf","EMPENHO REF. TAXA DE LIXO - TMRSU DE IMÓVEL ONDE FUNCIONA SEDE DO NÚCLEO DE MEDIAÇÃO COMUNITÁRIA DO BOM JARDIM, CONF. CONTRATO 002/2023, REF. 2024 - PARCELA ÚNICA.")</f>
        <v>EMPENHO REF. TAXA DE LIXO - TMRSU DE IMÓVEL ONDE FUNCIONA SEDE DO NÚCLEO DE MEDIAÇÃO COMUNITÁRIA DO BOM JARDIM, CONF. CONTRATO 002/2023, REF. 2024 - PARCELA ÚNICA.</v>
      </c>
      <c r="F579" s="2" t="s">
        <v>252</v>
      </c>
      <c r="G579" s="5" t="str">
        <f>HYPERLINK("http://www8.mpce.mp.br/Empenhos/150501/NE/2024NE001282.pdf","2024NE001282")</f>
        <v>2024NE001282</v>
      </c>
      <c r="H579" s="6">
        <v>270.17</v>
      </c>
      <c r="I579" s="7" t="s">
        <v>123</v>
      </c>
      <c r="J579" s="10" t="s">
        <v>124</v>
      </c>
      <c r="K579" t="str">
        <f>HYPERLINK("http://www8.mpce.mp.br/Empenhos/150001/NE/2024NE000620.pdf","2024NE000620")</f>
        <v>2024NE000620</v>
      </c>
      <c r="L579">
        <v>608.22</v>
      </c>
      <c r="M579" t="s">
        <v>95</v>
      </c>
      <c r="N579">
        <v>7113566000179</v>
      </c>
    </row>
    <row r="580" spans="1:14" ht="51" x14ac:dyDescent="0.25">
      <c r="A580" s="12" t="s">
        <v>34</v>
      </c>
      <c r="B580" s="2" t="s">
        <v>768</v>
      </c>
      <c r="C580" s="3" t="str">
        <f>HYPERLINK("https://transparencia-area-fim.mpce.mp.br/#/consulta/processo/pastadigital/092022000091296","09.2022.00009129-6")</f>
        <v>09.2022.00009129-6</v>
      </c>
      <c r="D580" s="4">
        <v>45587</v>
      </c>
      <c r="E580" s="16" t="str">
        <f>HYPERLINK("https://www8.mpce.mp.br/Empenhos/150001/Objeto/33-2022.pdf","EMPENHO REF. LOCAÇÃO DE IMÓVEL SITUADO EM VÁRZEA ALEGRE-CE, ONDE FUNCIONA SEDE DE PROMOTORIAS DE JUSTIÇA DAQUELA COMARCA, CONF. CONSTA NO CONTRATO 033/2022, REF. OUT/2024, POR ESTIMATIVA.")</f>
        <v>EMPENHO REF. LOCAÇÃO DE IMÓVEL SITUADO EM VÁRZEA ALEGRE-CE, ONDE FUNCIONA SEDE DE PROMOTORIAS DE JUSTIÇA DAQUELA COMARCA, CONF. CONSTA NO CONTRATO 033/2022, REF. OUT/2024, POR ESTIMATIVA.</v>
      </c>
      <c r="F580" s="2" t="s">
        <v>161</v>
      </c>
      <c r="G580" s="5" t="str">
        <f>HYPERLINK("http://www8.mpce.mp.br/Empenhos/150501/NE/2024NE001287.pdf","2024NE001287")</f>
        <v>2024NE001287</v>
      </c>
      <c r="H580" s="6">
        <v>800</v>
      </c>
      <c r="I580" s="7" t="s">
        <v>197</v>
      </c>
      <c r="J580" s="10" t="s">
        <v>198</v>
      </c>
      <c r="K580" t="str">
        <f>HYPERLINK("http://www8.mpce.mp.br/Empenhos/150501/NE/2024NE000622.pdf","2024NE000622")</f>
        <v>2024NE000622</v>
      </c>
      <c r="L580" s="13">
        <v>342949.76</v>
      </c>
      <c r="M580" t="s">
        <v>244</v>
      </c>
      <c r="N580">
        <v>3773788000167</v>
      </c>
    </row>
    <row r="581" spans="1:14" ht="51" x14ac:dyDescent="0.25">
      <c r="A581" s="12" t="s">
        <v>34</v>
      </c>
      <c r="B581" s="2" t="s">
        <v>768</v>
      </c>
      <c r="C581" s="3" t="str">
        <f>HYPERLINK("https://transparencia-area-fim.mpce.mp.br/#/consulta/processo/pastadigital/092022000091296","09.2022.00009129-6")</f>
        <v>09.2022.00009129-6</v>
      </c>
      <c r="D581" s="4">
        <v>45614</v>
      </c>
      <c r="E581" s="16" t="str">
        <f>HYPERLINK("https://www8.mpce.mp.br/Empenhos/150001/Objeto/33-2022.pdf","EMPENHO REF. LOCAÇÃO DE IMÓVEL SITUADO EM VÁRZEA ALEGRE-CE, ONDE FUNCIONA SEDE DE PROMOTORIAS DE JUSTIÇA DAQUELA COMARCA, CONF. CONTRATO 033/2022, REF. NOV E DEZ/2024, POR ESTIMATIVA.")</f>
        <v>EMPENHO REF. LOCAÇÃO DE IMÓVEL SITUADO EM VÁRZEA ALEGRE-CE, ONDE FUNCIONA SEDE DE PROMOTORIAS DE JUSTIÇA DAQUELA COMARCA, CONF. CONTRATO 033/2022, REF. NOV E DEZ/2024, POR ESTIMATIVA.</v>
      </c>
      <c r="F581" s="2" t="s">
        <v>161</v>
      </c>
      <c r="G581" s="5" t="str">
        <f>HYPERLINK("http://www8.mpce.mp.br/Empenhos/150501/NE/2024NE001288.pdf","2024NE001288")</f>
        <v>2024NE001288</v>
      </c>
      <c r="H581" s="6">
        <v>1600</v>
      </c>
      <c r="I581" s="7" t="s">
        <v>197</v>
      </c>
      <c r="J581" s="10" t="s">
        <v>198</v>
      </c>
      <c r="K581" t="str">
        <f>HYPERLINK("http://www8.mpce.mp.br/Empenhos/150001/NE/2024NE000622.pdf","2024NE000622")</f>
        <v>2024NE000622</v>
      </c>
      <c r="L581">
        <v>450</v>
      </c>
      <c r="M581" t="s">
        <v>107</v>
      </c>
      <c r="N581">
        <v>45898856000164</v>
      </c>
    </row>
    <row r="582" spans="1:14" ht="38.25" x14ac:dyDescent="0.25">
      <c r="A582" s="12" t="s">
        <v>9</v>
      </c>
      <c r="B582" s="2" t="s">
        <v>775</v>
      </c>
      <c r="C582" s="3" t="str">
        <f>HYPERLINK("https://transparencia-area-fim.mpce.mp.br/#/consulta/processo/pastadigital/092022000409094","09.2022.00040909-4")</f>
        <v>09.2022.00040909-4</v>
      </c>
      <c r="D582" s="4">
        <v>45589</v>
      </c>
      <c r="E582" s="16" t="str">
        <f>HYPERLINK("https://www8.mpce.mp.br/Empenhos/150001/Objeto/41-2023.pdf","EMPENHO REF. IPTU DE IMÓVEL ONDE FUNCIONA SEDE DE PROMOTORIAS DE JUSTIÇA DE GUARACIABA DO NORTE, CONF. CONTRATO 041/2023, REF. 2024 - PARCELA ÚNICA.")</f>
        <v>EMPENHO REF. IPTU DE IMÓVEL ONDE FUNCIONA SEDE DE PROMOTORIAS DE JUSTIÇA DE GUARACIABA DO NORTE, CONF. CONTRATO 041/2023, REF. 2024 - PARCELA ÚNICA.</v>
      </c>
      <c r="F582" s="2" t="s">
        <v>223</v>
      </c>
      <c r="G582" s="5" t="str">
        <f>HYPERLINK("http://www8.mpce.mp.br/Empenhos/150501/NE/2024NE001295.pdf","2024NE001295")</f>
        <v>2024NE001295</v>
      </c>
      <c r="H582" s="6">
        <v>289.18</v>
      </c>
      <c r="I582" s="7" t="s">
        <v>184</v>
      </c>
      <c r="J582" s="10" t="s">
        <v>185</v>
      </c>
      <c r="K582" t="str">
        <f>HYPERLINK("http://www8.mpce.mp.br/Empenhos/150501/NE/2024NE000623.pdf","2024NE000623")</f>
        <v>2024NE000623</v>
      </c>
      <c r="L582">
        <v>729.87</v>
      </c>
      <c r="M582" t="s">
        <v>144</v>
      </c>
      <c r="N582">
        <v>22588967000179</v>
      </c>
    </row>
    <row r="583" spans="1:14" ht="51" x14ac:dyDescent="0.25">
      <c r="A583" s="12" t="s">
        <v>34</v>
      </c>
      <c r="B583" s="2" t="s">
        <v>906</v>
      </c>
      <c r="C583" s="3" t="str">
        <f>HYPERLINK("https://transparencia-area-fim.mpce.mp.br/#/consulta/processo/pastadigital/092020000096883","09.2020.00009688-3")</f>
        <v>09.2020.00009688-3</v>
      </c>
      <c r="D583" s="4">
        <v>45589</v>
      </c>
      <c r="E583" s="16" t="str">
        <f>HYPERLINK("https://www8.mpce.mp.br/Empenhos/150001/Objeto/28-2020.pdf","EMPENHO REF. SERVIÇOS DE SUPORTE E FORNECIMENTO DOS SERVIÇOS COMPUTACIONAIS DA PLATAFORMA GOOGLE MAPS, CONF. CONTRATO 028/2020, REF. OUT, NOV E DEZ/2024, POR ESTIMATIVA.")</f>
        <v>EMPENHO REF. SERVIÇOS DE SUPORTE E FORNECIMENTO DOS SERVIÇOS COMPUTACIONAIS DA PLATAFORMA GOOGLE MAPS, CONF. CONTRATO 028/2020, REF. OUT, NOV E DEZ/2024, POR ESTIMATIVA.</v>
      </c>
      <c r="F583" s="2" t="s">
        <v>71</v>
      </c>
      <c r="G583" s="5" t="str">
        <f>HYPERLINK("http://www8.mpce.mp.br/Empenhos/150501/NE/2024NE001299.pdf","2024NE001299")</f>
        <v>2024NE001299</v>
      </c>
      <c r="H583" s="6">
        <v>750</v>
      </c>
      <c r="I583" s="7" t="s">
        <v>257</v>
      </c>
      <c r="J583" s="10" t="s">
        <v>830</v>
      </c>
      <c r="K583" t="str">
        <f>HYPERLINK("http://www8.mpce.mp.br/Empenhos/150501/NE/2024NE000625.pdf","2024NE000625")</f>
        <v>2024NE000625</v>
      </c>
      <c r="L583">
        <v>152.37</v>
      </c>
      <c r="M583" t="s">
        <v>144</v>
      </c>
      <c r="N583">
        <v>22588967000179</v>
      </c>
    </row>
    <row r="584" spans="1:14" ht="38.25" x14ac:dyDescent="0.25">
      <c r="A584" s="12" t="s">
        <v>34</v>
      </c>
      <c r="B584" s="2" t="s">
        <v>907</v>
      </c>
      <c r="C584" s="3" t="str">
        <f>HYPERLINK("https://transparencia-area-fim.mpce.mp.br/#/consulta/processo/pastadigital/092024000176845","09.2024.00017684-5")</f>
        <v>09.2024.00017684-5</v>
      </c>
      <c r="D584" s="4">
        <v>45595</v>
      </c>
      <c r="E584" s="16" t="str">
        <f>HYPERLINK("https://www8.mpce.mp.br/Empenhos/150001/Objeto/58-2024.pdf","EMPENHO REF. SERVIÇOS ESPECIALIZADOS EM SEGURANÇA (ANTIVÍRUS), CONF. CONTRATO 058/2024, REF. SET E OUT/2024.")</f>
        <v>EMPENHO REF. SERVIÇOS ESPECIALIZADOS EM SEGURANÇA (ANTIVÍRUS), CONF. CONTRATO 058/2024, REF. SET E OUT/2024.</v>
      </c>
      <c r="F584" s="2" t="s">
        <v>516</v>
      </c>
      <c r="G584" s="5" t="str">
        <f>HYPERLINK("http://www8.mpce.mp.br/Empenhos/150501/NE/2024NE001306.pdf","2024NE001306")</f>
        <v>2024NE001306</v>
      </c>
      <c r="H584" s="6">
        <v>245901.3</v>
      </c>
      <c r="I584" s="7" t="s">
        <v>244</v>
      </c>
      <c r="J584" s="10" t="s">
        <v>245</v>
      </c>
      <c r="K584" t="str">
        <f>HYPERLINK("http://www8.mpce.mp.br/Empenhos/150501/NE/2024NE000626.pdf","2024NE000626")</f>
        <v>2024NE000626</v>
      </c>
      <c r="L584" s="13">
        <v>435000</v>
      </c>
      <c r="M584" t="s">
        <v>611</v>
      </c>
      <c r="N584">
        <v>7084577000178</v>
      </c>
    </row>
    <row r="585" spans="1:14" ht="90" x14ac:dyDescent="0.25">
      <c r="A585" s="12" t="s">
        <v>34</v>
      </c>
      <c r="B585" s="2" t="s">
        <v>768</v>
      </c>
      <c r="C585" s="3" t="str">
        <f>HYPERLINK("https://transparencia-area-fim.mpce.mp.br/#/consulta/processo/pastadigital/092021000079244","09.2021.00007924-4")</f>
        <v>09.2021.00007924-4</v>
      </c>
      <c r="D585" s="4">
        <v>45595</v>
      </c>
      <c r="E585" s="17" t="str">
        <f>HYPERLINK("https://www8.mpce.mp.br/Empenhos/150001/Objeto/27-2021.pdf","EMPENHO REF. REEMBOLSO DE IPTU DE IMÓVEL SITUADO NA AV. EUSÉBIO DE QUEIROZ, 4.808 - ED. OFFICE &amp; MEDICAL CENTER EUSÉBIO, SALAS 409, 411 E 412 - CENTRO, EUSÉBIO-CE,"&amp;" ONDE FUNCIONA SEDE DE PROMOTORIAS DE JUSTIÇA DA COMARCA DE EUSÉBIO, CONF. CONTRATO 027/2021, REF. 2024 - PARCELAS 05/08 E 06/08.")</f>
        <v>EMPENHO REF. REEMBOLSO DE IPTU DE IMÓVEL SITUADO NA AV. EUSÉBIO DE QUEIROZ, 4.808 - ED. OFFICE &amp; MEDICAL CENTER EUSÉBIO, SALAS 409, 411 E 412 - CENTRO, EUSÉBIO-CE, ONDE FUNCIONA SEDE DE PROMOTORIAS DE JUSTIÇA DA COMARCA DE EUSÉBIO, CONF. CONTRATO 027/2021, REF. 2024 - PARCELAS 05/08 E 06/08.</v>
      </c>
      <c r="F585" s="2" t="s">
        <v>252</v>
      </c>
      <c r="G585" s="5" t="str">
        <f>HYPERLINK("http://www8.mpce.mp.br/Empenhos/150501/NE/2024NE001309.pdf","2024NE001309")</f>
        <v>2024NE001309</v>
      </c>
      <c r="H585" s="6">
        <v>914.22</v>
      </c>
      <c r="I585" s="7" t="s">
        <v>144</v>
      </c>
      <c r="J585" s="10" t="s">
        <v>145</v>
      </c>
      <c r="K585" t="str">
        <f>HYPERLINK("http://www8.mpce.mp.br/Empenhos/150501/NE/2024NE000626.pdf","2024NE000626")</f>
        <v>2024NE000626</v>
      </c>
      <c r="L585" s="13">
        <v>435000</v>
      </c>
      <c r="M585" t="s">
        <v>611</v>
      </c>
      <c r="N585">
        <v>7084577000178</v>
      </c>
    </row>
    <row r="586" spans="1:14" ht="90" x14ac:dyDescent="0.25">
      <c r="A586" s="12" t="s">
        <v>34</v>
      </c>
      <c r="B586" s="2" t="s">
        <v>908</v>
      </c>
      <c r="C586" s="3" t="str">
        <f>HYPERLINK("http://www8.mpce.mp.br/Dispensa/842220170.pdf","8422/20170")</f>
        <v>8422/20170</v>
      </c>
      <c r="D586" s="4">
        <v>45596</v>
      </c>
      <c r="E586" s="17" t="str">
        <f>HYPERLINK("https://www8.mpce.mp.br/Empenhos/150001/Objeto/16-2017.pdf","LOCAÇÃO DE IMÓVEL O PROPORCIONAL DE 20 (VINTE) DIAS REFERENTES AO RETROATIVO DO MÊS DE SETEMBRO DE 2024, RELATIVO AO IMÓVEL ONDE FUNCIONAM AS PROMOTORIAS DE JUSTIÇA CRIMINAIS,"&amp;" LOCALIZADA NA AVENIDA CEL. JOSÉ PHILOMENO, Nº 222, BAIRRO ENGENHEIRO LUCIANO CAVALCANTE, FORTALEZA-CE, CONF. CONTRATO 016/2017/PGJ.")</f>
        <v>LOCAÇÃO DE IMÓVEL O PROPORCIONAL DE 20 (VINTE) DIAS REFERENTES AO RETROATIVO DO MÊS DE SETEMBRO DE 2024, RELATIVO AO IMÓVEL ONDE FUNCIONAM AS PROMOTORIAS DE JUSTIÇA CRIMINAIS, LOCALIZADA NA AVENIDA CEL. JOSÉ PHILOMENO, Nº 222, BAIRRO ENGENHEIRO LUCIANO CAVALCANTE, FORTALEZA-CE, CONF. CONTRATO 016/2017/PGJ.</v>
      </c>
      <c r="F586" s="2" t="s">
        <v>116</v>
      </c>
      <c r="G586" s="5" t="str">
        <f>HYPERLINK("http://www8.mpce.mp.br/Empenhos/150501/NE/2024NE001311.pdf","2024NE001311")</f>
        <v>2024NE001311</v>
      </c>
      <c r="H586" s="6">
        <v>1672.83</v>
      </c>
      <c r="I586" s="7" t="s">
        <v>158</v>
      </c>
      <c r="J586" s="10" t="s">
        <v>159</v>
      </c>
      <c r="K586" t="str">
        <f>HYPERLINK("http://www8.mpce.mp.br/Empenhos/150501/NE/2024NE000631.pdf","2024NE000631")</f>
        <v>2024NE000631</v>
      </c>
      <c r="L586" s="13">
        <v>41400</v>
      </c>
      <c r="M586" t="s">
        <v>244</v>
      </c>
      <c r="N586">
        <v>3773788000167</v>
      </c>
    </row>
    <row r="587" spans="1:14" ht="38.25" x14ac:dyDescent="0.25">
      <c r="A587" s="12" t="s">
        <v>9</v>
      </c>
      <c r="B587" s="2" t="s">
        <v>796</v>
      </c>
      <c r="C587" s="3" t="str">
        <f>HYPERLINK("https://transparencia-area-fim.mpce.mp.br/#/consulta/processo/pastadigital/092023000255300","09.2023.00025530-0")</f>
        <v>09.2023.00025530-0</v>
      </c>
      <c r="D587" s="4">
        <v>45600</v>
      </c>
      <c r="E587" s="16" t="str">
        <f>HYPERLINK("https://www8.mpce.mp.br/Empenhos/150001/Objeto/42-2024.pdf","EMPENHO REF. SERVIÇO DE SUPORTE 1º NÍVEL, CONF. CONTRATO 042/2024, REF. NOV E DEZ/2024, POR ESTIMATIVA.")</f>
        <v>EMPENHO REF. SERVIÇO DE SUPORTE 1º NÍVEL, CONF. CONTRATO 042/2024, REF. NOV E DEZ/2024, POR ESTIMATIVA.</v>
      </c>
      <c r="F587" s="2" t="s">
        <v>71</v>
      </c>
      <c r="G587" s="5" t="str">
        <f>HYPERLINK("http://www8.mpce.mp.br/Empenhos/150501/NE/2024NE001323.pdf","2024NE001323")</f>
        <v>2024NE001323</v>
      </c>
      <c r="H587" s="6">
        <v>350933.76000000001</v>
      </c>
      <c r="I587" s="7" t="s">
        <v>72</v>
      </c>
      <c r="J587" s="10" t="s">
        <v>73</v>
      </c>
      <c r="K587" t="str">
        <f>HYPERLINK("http://www8.mpce.mp.br/Empenhos/150501/NE/2024NE000631.pdf","2024NE000631")</f>
        <v>2024NE000631</v>
      </c>
      <c r="L587" s="13">
        <v>41400</v>
      </c>
      <c r="M587" t="s">
        <v>244</v>
      </c>
      <c r="N587">
        <v>3773788000167</v>
      </c>
    </row>
    <row r="588" spans="1:14" ht="38.25" x14ac:dyDescent="0.25">
      <c r="A588" s="12" t="s">
        <v>9</v>
      </c>
      <c r="B588" s="2" t="s">
        <v>777</v>
      </c>
      <c r="C588" s="3" t="str">
        <f>HYPERLINK("https://transparencia-area-fim.mpce.mp.br/#/consulta/processo/pastadigital/092023000214163","09.2023.00021416-3")</f>
        <v>09.2023.00021416-3</v>
      </c>
      <c r="D588" s="4">
        <v>45600</v>
      </c>
      <c r="E588" s="16" t="str">
        <f>HYPERLINK("https://www8.mpce.mp.br/Empenhos/150001/Objeto/56-2023.pdf","EMPENHO REF. IPTU DE IMÓVEL ONDE FUNCIONA SEDE DE PROMOTORIAS DE JUSTIÇA DA COMARCA DE BATURITÉ, CONF. CONTRATO 056/2023, REF. 2024 - PARCELA ÚNICA.")</f>
        <v>EMPENHO REF. IPTU DE IMÓVEL ONDE FUNCIONA SEDE DE PROMOTORIAS DE JUSTIÇA DA COMARCA DE BATURITÉ, CONF. CONTRATO 056/2023, REF. 2024 - PARCELA ÚNICA.</v>
      </c>
      <c r="F588" s="2" t="s">
        <v>252</v>
      </c>
      <c r="G588" s="5" t="str">
        <f>HYPERLINK("http://www8.mpce.mp.br/Empenhos/150501/NE/2024NE001324.pdf","2024NE001324")</f>
        <v>2024NE001324</v>
      </c>
      <c r="H588" s="6">
        <v>266.43</v>
      </c>
      <c r="I588" s="7" t="s">
        <v>156</v>
      </c>
      <c r="J588" s="10" t="s">
        <v>157</v>
      </c>
      <c r="K588" t="str">
        <f>HYPERLINK("http://www8.mpce.mp.br/Empenhos/150501/NE/2024NE000631.pdf","2024NE000631")</f>
        <v>2024NE000631</v>
      </c>
      <c r="L588" s="13">
        <v>41400</v>
      </c>
      <c r="M588" t="s">
        <v>244</v>
      </c>
      <c r="N588">
        <v>3773788000167</v>
      </c>
    </row>
    <row r="589" spans="1:14" ht="51" x14ac:dyDescent="0.25">
      <c r="A589" s="12" t="s">
        <v>34</v>
      </c>
      <c r="B589" s="2" t="s">
        <v>776</v>
      </c>
      <c r="C589" s="3" t="str">
        <f>HYPERLINK("https://transparencia-area-fim.mpce.mp.br/#/consulta/processo/pastadigital/092022000343840","09.2022.00034384-0")</f>
        <v>09.2022.00034384-0</v>
      </c>
      <c r="D589" s="4">
        <v>45600</v>
      </c>
      <c r="E589" s="16" t="str">
        <f>HYPERLINK("https://www8.mpce.mp.br/Empenhos/150001/Objeto/11-2023.pdf","EMPENHO REF. IPTU DE IMÓVEL ONDE FUNCIONA SEDE DE PROMOTORIAS DE JUSTIÇA DA COMARCA DE SANTA QUITÉRIA, CONF. CONTRATO 011/2023, REF. 2024 - PARCELA ÚNICA.")</f>
        <v>EMPENHO REF. IPTU DE IMÓVEL ONDE FUNCIONA SEDE DE PROMOTORIAS DE JUSTIÇA DA COMARCA DE SANTA QUITÉRIA, CONF. CONTRATO 011/2023, REF. 2024 - PARCELA ÚNICA.</v>
      </c>
      <c r="F589" s="2" t="s">
        <v>252</v>
      </c>
      <c r="G589" s="5" t="str">
        <f>HYPERLINK("http://www8.mpce.mp.br/Empenhos/150501/NE/2024NE001325.pdf","2024NE001325")</f>
        <v>2024NE001325</v>
      </c>
      <c r="H589" s="6">
        <v>283.99</v>
      </c>
      <c r="I589" s="7" t="s">
        <v>238</v>
      </c>
      <c r="J589" s="10" t="s">
        <v>239</v>
      </c>
      <c r="K589" t="str">
        <f>HYPERLINK("http://www8.mpce.mp.br/Empenhos/150501/NE/2024NE000631.pdf","2024NE000631")</f>
        <v>2024NE000631</v>
      </c>
      <c r="L589" s="13">
        <v>41400</v>
      </c>
      <c r="M589" t="s">
        <v>244</v>
      </c>
      <c r="N589">
        <v>3773788000167</v>
      </c>
    </row>
    <row r="590" spans="1:14" ht="38.25" x14ac:dyDescent="0.25">
      <c r="A590" s="12" t="s">
        <v>34</v>
      </c>
      <c r="B590" s="2" t="s">
        <v>768</v>
      </c>
      <c r="C590" s="3" t="str">
        <f>HYPERLINK("https://transparencia-area-fim.mpce.mp.br/#/consulta/processo/pastadigital/092021000244550","09.2021.00024455-0")</f>
        <v>09.2021.00024455-0</v>
      </c>
      <c r="D590" s="4">
        <v>45600</v>
      </c>
      <c r="E590" s="16" t="str">
        <f>HYPERLINK("https://www8.mpce.mp.br/Empenhos/150001/Objeto/10-2022.pdf","EMPENHO REF. IPTU DE IMÓVEL ONDE FUNCIONA SEDE DE PROMOTORIAS DE JUSTIÇA DA COMARCA DE ICÓ, CONF. CONTRATO 010/2022, REF. 2024 - PARCELA ÚNICA.")</f>
        <v>EMPENHO REF. IPTU DE IMÓVEL ONDE FUNCIONA SEDE DE PROMOTORIAS DE JUSTIÇA DA COMARCA DE ICÓ, CONF. CONTRATO 010/2022, REF. 2024 - PARCELA ÚNICA.</v>
      </c>
      <c r="F590" s="2" t="s">
        <v>252</v>
      </c>
      <c r="G590" s="5" t="str">
        <f>HYPERLINK("http://www8.mpce.mp.br/Empenhos/150501/NE/2024NE001326.pdf","2024NE001326")</f>
        <v>2024NE001326</v>
      </c>
      <c r="H590" s="6">
        <v>678.89</v>
      </c>
      <c r="I590" s="7" t="s">
        <v>402</v>
      </c>
      <c r="J590" s="10" t="s">
        <v>841</v>
      </c>
      <c r="K590" t="str">
        <f>HYPERLINK("http://www8.mpce.mp.br/Empenhos/150001/NE/2024NE000638.pdf","2024NE000638")</f>
        <v>2024NE000638</v>
      </c>
      <c r="L590">
        <v>60.78</v>
      </c>
      <c r="M590" t="s">
        <v>85</v>
      </c>
      <c r="N590">
        <v>7476369000114</v>
      </c>
    </row>
    <row r="591" spans="1:14" ht="51" x14ac:dyDescent="0.25">
      <c r="A591" s="12" t="s">
        <v>9</v>
      </c>
      <c r="B591" s="2" t="s">
        <v>775</v>
      </c>
      <c r="C591" s="3" t="str">
        <f>HYPERLINK("https://transparencia-area-fim.mpce.mp.br/#/consulta/processo/pastadigital/092022000409094","09.2022.00040909-4")</f>
        <v>09.2022.00040909-4</v>
      </c>
      <c r="D591" s="4">
        <v>45601</v>
      </c>
      <c r="E591" s="16" t="str">
        <f>HYPERLINK("https://www8.mpce.mp.br/Empenhos/150001/Objeto/41-2023.pdf","EMPENHO REF. ALUGUEL DE IMÓVEL ONDE FUNCIONA SEDE DE PROMOTORIAS DE JUSTIÇA DE GUARACIABA DO NORTE, CONF. CONTRATO 041/2023, REF. NOV E DEZ/2024, POR ESTIMATIVA.")</f>
        <v>EMPENHO REF. ALUGUEL DE IMÓVEL ONDE FUNCIONA SEDE DE PROMOTORIAS DE JUSTIÇA DE GUARACIABA DO NORTE, CONF. CONTRATO 041/2023, REF. NOV E DEZ/2024, POR ESTIMATIVA.</v>
      </c>
      <c r="F591" s="2" t="s">
        <v>161</v>
      </c>
      <c r="G591" s="5" t="str">
        <f>HYPERLINK("http://www8.mpce.mp.br/Empenhos/150501/NE/2024NE001333.pdf","2024NE001333")</f>
        <v>2024NE001333</v>
      </c>
      <c r="H591" s="6">
        <v>4600</v>
      </c>
      <c r="I591" s="7" t="s">
        <v>184</v>
      </c>
      <c r="J591" s="10" t="s">
        <v>185</v>
      </c>
      <c r="K591" t="str">
        <f>HYPERLINK("http://www8.mpce.mp.br/Empenhos/150001/NE/2024NE000642.pdf","2024NE000642")</f>
        <v>2024NE000642</v>
      </c>
      <c r="L591">
        <v>600</v>
      </c>
      <c r="M591" t="s">
        <v>78</v>
      </c>
      <c r="N591">
        <v>5537196000171</v>
      </c>
    </row>
    <row r="592" spans="1:14" ht="51" x14ac:dyDescent="0.25">
      <c r="A592" s="12" t="s">
        <v>34</v>
      </c>
      <c r="B592" s="2" t="s">
        <v>768</v>
      </c>
      <c r="C592" s="3" t="str">
        <f>HYPERLINK("http://www8.mpce.mp.br/Dispensa/842220170.pdf","8422/20170")</f>
        <v>8422/20170</v>
      </c>
      <c r="D592" s="4">
        <v>45601</v>
      </c>
      <c r="E592" s="16" t="str">
        <f>HYPERLINK("https://www8.mpce.mp.br/Empenhos/150001/Objeto/16-2017.pdf","EMPENHO REF. ALUGUEL DE IMÓVEL ONDE FUNCIONAM PROMOTORIAS DE JUSTIÇA CRIMINAIS DA COMARCA DE FORTALEZA, CONF. CONTRATO 016/2017, REF. NOV E DEZ/2024, POR ESTIMATIVA.")</f>
        <v>EMPENHO REF. ALUGUEL DE IMÓVEL ONDE FUNCIONAM PROMOTORIAS DE JUSTIÇA CRIMINAIS DA COMARCA DE FORTALEZA, CONF. CONTRATO 016/2017, REF. NOV E DEZ/2024, POR ESTIMATIVA.</v>
      </c>
      <c r="F592" s="2" t="s">
        <v>116</v>
      </c>
      <c r="G592" s="5" t="str">
        <f>HYPERLINK("http://www8.mpce.mp.br/Empenhos/150501/NE/2024NE001335.pdf","2024NE001335")</f>
        <v>2024NE001335</v>
      </c>
      <c r="H592" s="6">
        <v>122840.44</v>
      </c>
      <c r="I592" s="7" t="s">
        <v>158</v>
      </c>
      <c r="J592" s="10" t="s">
        <v>159</v>
      </c>
      <c r="K592" t="str">
        <f>HYPERLINK("http://www8.mpce.mp.br/Empenhos/150501/NE/2024NE000643.pdf","2024NE000643")</f>
        <v>2024NE000643</v>
      </c>
      <c r="L592" s="13">
        <v>2619.0100000000002</v>
      </c>
      <c r="M592" t="s">
        <v>158</v>
      </c>
      <c r="N592">
        <v>5569807000163</v>
      </c>
    </row>
    <row r="593" spans="1:14" ht="51" x14ac:dyDescent="0.25">
      <c r="A593" s="12" t="s">
        <v>34</v>
      </c>
      <c r="B593" s="2" t="s">
        <v>909</v>
      </c>
      <c r="C593" s="3" t="str">
        <f>HYPERLINK("https://transparencia-area-fim.mpce.mp.br/#/consulta/processo/pastadigital/092024000159002","09.2024.00015900-2")</f>
        <v>09.2024.00015900-2</v>
      </c>
      <c r="D593" s="4">
        <v>45602</v>
      </c>
      <c r="E593" s="16" t="str">
        <f>HYPERLINK("https://www8.mpce.mp.br/Empenhos/150001/Objeto/39-2024.pdf","REF. A SERVIÇO DE LOCAÇÃO DE NOBREAK DE 3 KVA, CONF. 039/2024, RELATIVO AOS MESES DE OUTUBRO/2024 (ORDINÁRIO) E NOVEMBRO E DEZEMBRO/2024 (POR ESTIMATIVA).")</f>
        <v>REF. A SERVIÇO DE LOCAÇÃO DE NOBREAK DE 3 KVA, CONF. 039/2024, RELATIVO AOS MESES DE OUTUBRO/2024 (ORDINÁRIO) E NOVEMBRO E DEZEMBRO/2024 (POR ESTIMATIVA).</v>
      </c>
      <c r="F593" s="2" t="s">
        <v>910</v>
      </c>
      <c r="G593" s="5" t="str">
        <f>HYPERLINK("http://www8.mpce.mp.br/Empenhos/150501/NE/2024NE001351.pdf","2024NE001351")</f>
        <v>2024NE001351</v>
      </c>
      <c r="H593" s="6">
        <v>27000</v>
      </c>
      <c r="I593" s="7" t="s">
        <v>528</v>
      </c>
      <c r="J593" s="10" t="s">
        <v>852</v>
      </c>
      <c r="K593" t="str">
        <f>HYPERLINK("http://www8.mpce.mp.br/Empenhos/150001/NE/2024NE000644.pdf","2024NE000644")</f>
        <v>2024NE000644</v>
      </c>
      <c r="L593">
        <v>271.32</v>
      </c>
      <c r="M593" t="s">
        <v>75</v>
      </c>
      <c r="N593">
        <v>7508138000145</v>
      </c>
    </row>
    <row r="594" spans="1:14" ht="63.75" x14ac:dyDescent="0.25">
      <c r="A594" s="12" t="s">
        <v>9</v>
      </c>
      <c r="B594" s="2" t="s">
        <v>911</v>
      </c>
      <c r="C594" s="3" t="str">
        <f>HYPERLINK("https://transparencia-area-fim.mpce.mp.br/#/consulta/processo/pastadigital/092023000254844","09.2023.00025484-4")</f>
        <v>09.2023.00025484-4</v>
      </c>
      <c r="D594" s="4">
        <v>45610</v>
      </c>
      <c r="E594" s="16" t="str">
        <f>HYPERLINK("https://www8.mpce.mp.br/Empenhos/150001/Objeto/03-2024.pdf","EMPENHO REF. SERVIÇOS DE MANUTENÇÃO PARA EQUIPAMENTOS DE COMPUTAÇÃO, INCLUINDO O SERVIÇO DE MANUTENÇÃO TÉCNICO REMOTO, POR INEXIGIBILIDADE DE LICITAÇÃO, CONF. CONTRATO 003/2024, REF. EXERCÍCIO 2024, POR ESTIMATIVA.")</f>
        <v>EMPENHO REF. SERVIÇOS DE MANUTENÇÃO PARA EQUIPAMENTOS DE COMPUTAÇÃO, INCLUINDO O SERVIÇO DE MANUTENÇÃO TÉCNICO REMOTO, POR INEXIGIBILIDADE DE LICITAÇÃO, CONF. CONTRATO 003/2024, REF. EXERCÍCIO 2024, POR ESTIMATIVA.</v>
      </c>
      <c r="F594" s="2" t="s">
        <v>510</v>
      </c>
      <c r="G594" s="5" t="str">
        <f>HYPERLINK("http://www8.mpce.mp.br/Empenhos/150501/NE/2024NE001374.pdf","2024NE001374")</f>
        <v>2024NE001374</v>
      </c>
      <c r="H594" s="6">
        <v>85415.57</v>
      </c>
      <c r="I594" s="7" t="s">
        <v>511</v>
      </c>
      <c r="J594" s="10" t="s">
        <v>847</v>
      </c>
      <c r="K594" t="str">
        <f>HYPERLINK("http://www8.mpce.mp.br/Empenhos/150501/NE/2024NE000646.pdf","2024NE000646")</f>
        <v>2024NE000646</v>
      </c>
      <c r="L594" s="13">
        <v>18263.46</v>
      </c>
      <c r="M594" t="s">
        <v>22</v>
      </c>
      <c r="N594">
        <v>83472803000176</v>
      </c>
    </row>
    <row r="595" spans="1:14" ht="63.75" x14ac:dyDescent="0.25">
      <c r="A595" s="12" t="s">
        <v>9</v>
      </c>
      <c r="B595" s="2" t="s">
        <v>911</v>
      </c>
      <c r="C595" s="3" t="str">
        <f>HYPERLINK("https://transparencia-area-fim.mpce.mp.br/#/consulta/processo/pastadigital/092024000364632","09.2024.00036463-2")</f>
        <v>09.2024.00036463-2</v>
      </c>
      <c r="D595" s="4">
        <v>45608</v>
      </c>
      <c r="E595" s="16" t="str">
        <f>HYPERLINK("https://www8.mpce.mp.br/Empenhos/150001/Objeto/-2024-1.pdf","EMPENHO REF. SERVIÇOS DE MANUTENÇÃO PARA EQUIPAMENTOS DE COMPUTAÇÃO, INCLUINDO O SERVIÇO DE MANUTENÇÃO TÉCNICO REMOTO, POR INEXIGIBILIDADE DE LICITAÇÃO, CONF. CONTRATO 003/2024, REF. EXERCÍCIO 2024, POR ESTIMATIVA.")</f>
        <v>EMPENHO REF. SERVIÇOS DE MANUTENÇÃO PARA EQUIPAMENTOS DE COMPUTAÇÃO, INCLUINDO O SERVIÇO DE MANUTENÇÃO TÉCNICO REMOTO, POR INEXIGIBILIDADE DE LICITAÇÃO, CONF. CONTRATO 003/2024, REF. EXERCÍCIO 2024, POR ESTIMATIVA.</v>
      </c>
      <c r="F595" s="2" t="s">
        <v>510</v>
      </c>
      <c r="G595" s="5" t="str">
        <f>HYPERLINK("http://www8.mpce.mp.br/Empenhos/150501/NE/2024NE001375.pdf","2024NE001375")</f>
        <v>2024NE001375</v>
      </c>
      <c r="H595" s="6">
        <v>50011.5</v>
      </c>
      <c r="I595" s="7" t="s">
        <v>511</v>
      </c>
      <c r="J595" s="10" t="s">
        <v>980</v>
      </c>
      <c r="K595" t="str">
        <f>HYPERLINK("http://www8.mpce.mp.br/Empenhos/150501/NE/2024NE000660.pdf","2024NE000660")</f>
        <v>2024NE000660</v>
      </c>
      <c r="L595" s="13">
        <v>131200</v>
      </c>
      <c r="M595" t="s">
        <v>113</v>
      </c>
      <c r="N595">
        <v>2593165000140</v>
      </c>
    </row>
    <row r="596" spans="1:14" ht="51" x14ac:dyDescent="0.25">
      <c r="A596" s="12" t="s">
        <v>34</v>
      </c>
      <c r="B596" s="2" t="s">
        <v>912</v>
      </c>
      <c r="C596" s="3" t="str">
        <f>HYPERLINK("https://transparencia-area-fim.mpce.mp.br/#/consulta/processo/pastadigital/092022000110511","09.2022.00011051-1")</f>
        <v>09.2022.00011051-1</v>
      </c>
      <c r="D596" s="4">
        <v>45607</v>
      </c>
      <c r="E596" s="16" t="str">
        <f>HYPERLINK("https://www8.mpce.mp.br/Empenhos/150001/Objeto/38-2022.pdf","ALUGUEL, REF. AO IMÓVEL ONDE FUNCIONAM AS PROMOTORIAS DE JUSTIÇA DA COMARCA DE NOVA OLINDA, REF, AO MESES DE NOVEMBRO E DEZEMBRO DE 2024, CONF,. CONTRATO 038/2022.")</f>
        <v>ALUGUEL, REF. AO IMÓVEL ONDE FUNCIONAM AS PROMOTORIAS DE JUSTIÇA DA COMARCA DE NOVA OLINDA, REF, AO MESES DE NOVEMBRO E DEZEMBRO DE 2024, CONF,. CONTRATO 038/2022.</v>
      </c>
      <c r="F596" s="2" t="s">
        <v>161</v>
      </c>
      <c r="G596" s="5" t="str">
        <f>HYPERLINK("http://www8.mpce.mp.br/Empenhos/150501/NE/2024NE001391.pdf","2024NE001391")</f>
        <v>2024NE001391</v>
      </c>
      <c r="H596" s="6">
        <v>4000</v>
      </c>
      <c r="I596" s="7" t="s">
        <v>229</v>
      </c>
      <c r="J596" s="10" t="s">
        <v>230</v>
      </c>
      <c r="K596" t="str">
        <f>HYPERLINK("http://www8.mpce.mp.br/Empenhos/150501/NE/2024NE000662.pdf","2024NE000662")</f>
        <v>2024NE000662</v>
      </c>
      <c r="L596" s="13">
        <v>13800</v>
      </c>
      <c r="M596" t="s">
        <v>244</v>
      </c>
      <c r="N596">
        <v>3773788000167</v>
      </c>
    </row>
    <row r="597" spans="1:14" ht="63.75" x14ac:dyDescent="0.25">
      <c r="A597" s="12" t="s">
        <v>34</v>
      </c>
      <c r="B597" s="2" t="s">
        <v>913</v>
      </c>
      <c r="C597" s="3" t="str">
        <f>HYPERLINK("http://www8.mpce.mp.br/Dispensa/4503020176.pdf","45030/2017-6")</f>
        <v>45030/2017-6</v>
      </c>
      <c r="D597" s="4">
        <v>45607</v>
      </c>
      <c r="E597" s="16" t="str">
        <f>HYPERLINK("https://www8.mpce.mp.br/Empenhos/150001/Objeto/74-2019.pdf","ALUGUEL DE IMÓVEL ONDE FUNCIONA SEDE DE PROMOTORIAS DE JUSTIÇA DA COMARCA DE GRANJA, CONF. CONTRATO 074/2019, PARA ABRANGER A COMPETÊNCIA DOS MESES DE NOVEMBRO E DEZEMBRO DE 2024.")</f>
        <v>ALUGUEL DE IMÓVEL ONDE FUNCIONA SEDE DE PROMOTORIAS DE JUSTIÇA DA COMARCA DE GRANJA, CONF. CONTRATO 074/2019, PARA ABRANGER A COMPETÊNCIA DOS MESES DE NOVEMBRO E DEZEMBRO DE 2024.</v>
      </c>
      <c r="F597" s="2" t="s">
        <v>161</v>
      </c>
      <c r="G597" s="5" t="str">
        <f>HYPERLINK("http://www8.mpce.mp.br/Empenhos/150501/NE/2024NE001392.pdf","2024NE001392")</f>
        <v>2024NE001392</v>
      </c>
      <c r="H597" s="6">
        <v>4376.0200000000004</v>
      </c>
      <c r="I597" s="7" t="s">
        <v>236</v>
      </c>
      <c r="J597" s="10" t="s">
        <v>237</v>
      </c>
      <c r="K597" t="str">
        <f>HYPERLINK("http://www8.mpce.mp.br/Empenhos/150501/NE/2024NE000662.pdf","2024NE000662")</f>
        <v>2024NE000662</v>
      </c>
      <c r="L597" s="13">
        <v>13800</v>
      </c>
      <c r="M597" t="s">
        <v>244</v>
      </c>
      <c r="N597">
        <v>3773788000167</v>
      </c>
    </row>
    <row r="598" spans="1:14" ht="63.75" x14ac:dyDescent="0.25">
      <c r="A598" s="12" t="s">
        <v>9</v>
      </c>
      <c r="B598" s="2" t="s">
        <v>914</v>
      </c>
      <c r="C598" s="3" t="str">
        <f>HYPERLINK("https://transparencia-area-fim.mpce.mp.br/#/consulta/processo/pastadigital/092024000173970","09.2024.00017397-0")</f>
        <v>09.2024.00017397-0</v>
      </c>
      <c r="D598" s="4">
        <v>45607</v>
      </c>
      <c r="E598" s="16" t="str">
        <f>HYPERLINK("https://www8.mpce.mp.br/Empenhos/150001/Objeto/44-2024.pdf","EMPENHO DA 1ª, 2ª E 3ª PARCELAS DO IPTU DO ANO DE 2024, REF AO IMÓVEL ONDE FUNCIONAM AS PROMOTORIAS DE JUSTIÇAS DE ACARAÚ, LOCALIZADO A RUA ARIMÁ SILVEIRA, 915, BAIRRO CENTRO, ACARAÚ, CONF. CONTRATO Nº 044/2024.")</f>
        <v>EMPENHO DA 1ª, 2ª E 3ª PARCELAS DO IPTU DO ANO DE 2024, REF AO IMÓVEL ONDE FUNCIONAM AS PROMOTORIAS DE JUSTIÇAS DE ACARAÚ, LOCALIZADO A RUA ARIMÁ SILVEIRA, 915, BAIRRO CENTRO, ACARAÚ, CONF. CONTRATO Nº 044/2024.</v>
      </c>
      <c r="F598" s="2" t="s">
        <v>252</v>
      </c>
      <c r="G598" s="5" t="str">
        <f>HYPERLINK("http://www8.mpce.mp.br/Empenhos/150501/NE/2024NE001393.pdf","2024NE001393")</f>
        <v>2024NE001393</v>
      </c>
      <c r="H598" s="6">
        <v>213.58</v>
      </c>
      <c r="I598" s="7" t="s">
        <v>686</v>
      </c>
      <c r="J598" s="10" t="s">
        <v>857</v>
      </c>
      <c r="K598" t="str">
        <f>HYPERLINK("http://www8.mpce.mp.br/Empenhos/150501/NE/2024NE000662.pdf","2024NE000662")</f>
        <v>2024NE000662</v>
      </c>
      <c r="L598" s="13">
        <v>13800</v>
      </c>
      <c r="M598" t="s">
        <v>244</v>
      </c>
      <c r="N598">
        <v>3773788000167</v>
      </c>
    </row>
    <row r="599" spans="1:14" ht="114.75" x14ac:dyDescent="0.25">
      <c r="A599" s="12" t="s">
        <v>9</v>
      </c>
      <c r="B599" s="2" t="s">
        <v>574</v>
      </c>
      <c r="C599" s="3" t="str">
        <f>HYPERLINK("https://transparencia-area-fim.mpce.mp.br/#/consulta/processo/pastadigital/092024000159657","09.2024.00015965-7")</f>
        <v>09.2024.00015965-7</v>
      </c>
      <c r="D599" s="4">
        <v>45453</v>
      </c>
      <c r="E599" s="16" t="s">
        <v>575</v>
      </c>
      <c r="F599" s="2" t="s">
        <v>373</v>
      </c>
      <c r="G599" s="5" t="str">
        <f>HYPERLINK("http://www8.mpce.mp.br/Empenhos/150001/NE/2024NE001394.pdf","2024NE001394")</f>
        <v>2024NE001394</v>
      </c>
      <c r="H599" s="6">
        <v>17492.55</v>
      </c>
      <c r="I599" s="7" t="s">
        <v>576</v>
      </c>
      <c r="J599" s="10" t="s">
        <v>868</v>
      </c>
      <c r="K599" t="str">
        <f>HYPERLINK("http://www8.mpce.mp.br/Empenhos/150501/NE/2024NE000662.pdf","2024NE000662")</f>
        <v>2024NE000662</v>
      </c>
      <c r="L599" s="13">
        <v>13800</v>
      </c>
      <c r="M599" t="s">
        <v>244</v>
      </c>
      <c r="N599">
        <v>3773788000167</v>
      </c>
    </row>
    <row r="600" spans="1:14" ht="63.75" x14ac:dyDescent="0.25">
      <c r="A600" s="12" t="s">
        <v>34</v>
      </c>
      <c r="B600" s="2" t="s">
        <v>503</v>
      </c>
      <c r="C600" s="3" t="str">
        <f>HYPERLINK("https://transparencia-area-fim.mpce.mp.br/#/consulta/processo/pastadigital/092021000166790","09.2021.00016679-0")</f>
        <v>09.2021.00016679-0</v>
      </c>
      <c r="D600" s="4">
        <v>45607</v>
      </c>
      <c r="E600" s="16" t="str">
        <f>HYPERLINK("https://www8.mpce.mp.br/Empenhos/150001/Objeto/24-2022.pdf","EMPENHO DOS ALUGUÉIS DOS MESES DE NOVEMBRO E  DEZEMBRO DE 2024, RELATIVO AO ALUGUEL DAS PROMOTORIAS DE JUSTIÇA DA COMARCA DE HORIZONTE, REF. AO MESES DE NOV. E DEZEMBRO 2024, CONF. CONTRATO Nº 024/2022.")</f>
        <v>EMPENHO DOS ALUGUÉIS DOS MESES DE NOVEMBRO E  DEZEMBRO DE 2024, RELATIVO AO ALUGUEL DAS PROMOTORIAS DE JUSTIÇA DA COMARCA DE HORIZONTE, REF. AO MESES DE NOV. E DEZEMBRO 2024, CONF. CONTRATO Nº 024/2022.</v>
      </c>
      <c r="F600" s="2" t="s">
        <v>161</v>
      </c>
      <c r="G600" s="5" t="str">
        <f>HYPERLINK("http://www8.mpce.mp.br/Empenhos/150501/NE/2024NE001395.pdf","2024NE001395")</f>
        <v>2024NE001395</v>
      </c>
      <c r="H600" s="6">
        <v>4800</v>
      </c>
      <c r="I600" s="7" t="s">
        <v>209</v>
      </c>
      <c r="J600" s="10" t="s">
        <v>210</v>
      </c>
      <c r="K600" t="str">
        <f>HYPERLINK("http://www8.mpce.mp.br/Empenhos/150501/NE/2024NE000663.pdf","2024NE000663")</f>
        <v>2024NE000663</v>
      </c>
      <c r="L600" s="13">
        <v>12432.84</v>
      </c>
      <c r="M600" t="s">
        <v>244</v>
      </c>
      <c r="N600">
        <v>3773788000167</v>
      </c>
    </row>
    <row r="601" spans="1:14" ht="102" x14ac:dyDescent="0.25">
      <c r="A601" s="12" t="s">
        <v>9</v>
      </c>
      <c r="B601" s="2" t="s">
        <v>577</v>
      </c>
      <c r="C601" s="3" t="str">
        <f>HYPERLINK("https://transparencia-area-fim.mpce.mp.br/#/consulta/processo/pastadigital/092024000130504","09.2024.00013050-4")</f>
        <v>09.2024.00013050-4</v>
      </c>
      <c r="D601" s="4">
        <v>45453</v>
      </c>
      <c r="E601" s="16" t="s">
        <v>578</v>
      </c>
      <c r="F601" s="2" t="s">
        <v>373</v>
      </c>
      <c r="G601" s="5" t="str">
        <f>HYPERLINK("http://www8.mpce.mp.br/Empenhos/150001/NE/2024NE001397.pdf","2024NE001397")</f>
        <v>2024NE001397</v>
      </c>
      <c r="H601" s="6">
        <v>7507.5</v>
      </c>
      <c r="I601" s="7" t="s">
        <v>579</v>
      </c>
      <c r="J601" s="10" t="s">
        <v>869</v>
      </c>
      <c r="K601" t="str">
        <f>HYPERLINK("http://www8.mpce.mp.br/Empenhos/150501/NE/2024NE000664.pdf","2024NE000664")</f>
        <v>2024NE000664</v>
      </c>
      <c r="L601" s="13">
        <v>22563.68</v>
      </c>
      <c r="M601" t="s">
        <v>244</v>
      </c>
      <c r="N601">
        <v>3773788000167</v>
      </c>
    </row>
    <row r="602" spans="1:14" ht="51" x14ac:dyDescent="0.25">
      <c r="A602" s="12" t="s">
        <v>9</v>
      </c>
      <c r="B602" s="2" t="s">
        <v>777</v>
      </c>
      <c r="C602" s="3" t="str">
        <f>HYPERLINK("https://transparencia-area-fim.mpce.mp.br/#/consulta/processo/pastadigital/092023000214163","09.2023.00021416-3")</f>
        <v>09.2023.00021416-3</v>
      </c>
      <c r="D602" s="4">
        <v>45607</v>
      </c>
      <c r="E602" s="16" t="str">
        <f>HYPERLINK("https://www8.mpce.mp.br/Empenhos/150001/Objeto/56-2023.pdf","EMPENHO REF. ALUGUEL DO IMÓVEL ONDE FUNCIONA SEDE DE PROMOTORIAS DE JUSTIÇA DA COMARCA DE BATURITÉ, CONF. CONTRATO 056/2023, REF. NOV E DEZ/2024, POR ESTIMATIVA.")</f>
        <v>EMPENHO REF. ALUGUEL DO IMÓVEL ONDE FUNCIONA SEDE DE PROMOTORIAS DE JUSTIÇA DA COMARCA DE BATURITÉ, CONF. CONTRATO 056/2023, REF. NOV E DEZ/2024, POR ESTIMATIVA.</v>
      </c>
      <c r="F602" s="2" t="s">
        <v>116</v>
      </c>
      <c r="G602" s="5" t="str">
        <f>HYPERLINK("http://www8.mpce.mp.br/Empenhos/150501/NE/2024NE001399.pdf","2024NE001399")</f>
        <v>2024NE001399</v>
      </c>
      <c r="H602" s="6">
        <v>10800</v>
      </c>
      <c r="I602" s="7" t="s">
        <v>156</v>
      </c>
      <c r="J602" s="10" t="s">
        <v>157</v>
      </c>
      <c r="K602" t="str">
        <f>HYPERLINK("http://www8.mpce.mp.br/Empenhos/150501/NE/2024NE000666.pdf","2024NE000666")</f>
        <v>2024NE000666</v>
      </c>
      <c r="L602" s="13">
        <v>35718.5</v>
      </c>
      <c r="M602" t="s">
        <v>244</v>
      </c>
      <c r="N602">
        <v>3773788000167</v>
      </c>
    </row>
    <row r="603" spans="1:14" ht="51" x14ac:dyDescent="0.25">
      <c r="A603" s="12" t="s">
        <v>34</v>
      </c>
      <c r="B603" s="2" t="s">
        <v>768</v>
      </c>
      <c r="C603" s="3" t="str">
        <f>HYPERLINK("http://www8.mpce.mp.br/Dispensa/1320920133.pdf","13209/2013-3")</f>
        <v>13209/2013-3</v>
      </c>
      <c r="D603" s="4">
        <v>45607</v>
      </c>
      <c r="E603" s="16" t="str">
        <f>HYPERLINK("https://www8.mpce.mp.br/Empenhos/150001/Objeto/43-2013.pdf","EMPENHO REF. IPTU DE IMÓVEL ONDE FUNCIONA SEDE DE PROMOTORIAS DE JUSTIÇA DA COMARCA DE MORADA NOVA, CONF. CONTRATO 043/2013, REF. 2024 - PARCELA ÚNICA.")</f>
        <v>EMPENHO REF. IPTU DE IMÓVEL ONDE FUNCIONA SEDE DE PROMOTORIAS DE JUSTIÇA DA COMARCA DE MORADA NOVA, CONF. CONTRATO 043/2013, REF. 2024 - PARCELA ÚNICA.</v>
      </c>
      <c r="F603" s="2" t="s">
        <v>223</v>
      </c>
      <c r="G603" s="5" t="str">
        <f>HYPERLINK("http://www8.mpce.mp.br/Empenhos/150501/NE/2024NE001400.pdf","2024NE001400")</f>
        <v>2024NE001400</v>
      </c>
      <c r="H603" s="6">
        <v>342.97</v>
      </c>
      <c r="I603" s="7" t="s">
        <v>177</v>
      </c>
      <c r="J603" s="10" t="s">
        <v>178</v>
      </c>
      <c r="K603" t="str">
        <f>HYPERLINK("http://www8.mpce.mp.br/Empenhos/150501/NE/2024NE000666.pdf","2024NE000666")</f>
        <v>2024NE000666</v>
      </c>
      <c r="L603" s="13">
        <v>35718.5</v>
      </c>
      <c r="M603" t="s">
        <v>244</v>
      </c>
      <c r="N603">
        <v>3773788000167</v>
      </c>
    </row>
    <row r="604" spans="1:14" ht="127.5" x14ac:dyDescent="0.25">
      <c r="A604" s="12" t="s">
        <v>9</v>
      </c>
      <c r="B604" s="2" t="s">
        <v>580</v>
      </c>
      <c r="C604" s="3" t="str">
        <f>HYPERLINK("https://transparencia-area-fim.mpce.mp.br/#/consulta/processo/pastadigital/092024000155217","09.2024.00015521-7")</f>
        <v>09.2024.00015521-7</v>
      </c>
      <c r="D604" s="4">
        <v>45454</v>
      </c>
      <c r="E604" s="16" t="s">
        <v>581</v>
      </c>
      <c r="F604" s="2" t="s">
        <v>373</v>
      </c>
      <c r="G604" s="5" t="str">
        <f>HYPERLINK("http://www8.mpce.mp.br/Empenhos/150001/NE/2024NE001402.pdf","2024NE001402")</f>
        <v>2024NE001402</v>
      </c>
      <c r="H604" s="6">
        <v>1000</v>
      </c>
      <c r="I604" s="7" t="s">
        <v>582</v>
      </c>
      <c r="J604" s="10" t="s">
        <v>870</v>
      </c>
      <c r="K604" t="str">
        <f>HYPERLINK("http://www8.mpce.mp.br/Empenhos/150501/NE/2024NE000666.pdf","2024NE000666")</f>
        <v>2024NE000666</v>
      </c>
      <c r="L604" s="13">
        <v>35718.5</v>
      </c>
      <c r="M604" t="s">
        <v>244</v>
      </c>
      <c r="N604">
        <v>3773788000167</v>
      </c>
    </row>
    <row r="605" spans="1:14" ht="127.5" x14ac:dyDescent="0.25">
      <c r="A605" s="12" t="s">
        <v>9</v>
      </c>
      <c r="B605" s="2" t="s">
        <v>580</v>
      </c>
      <c r="C605" s="3" t="str">
        <f>HYPERLINK("https://transparencia-area-fim.mpce.mp.br/#/consulta/processo/pastadigital/092024000147894","09.2024.00014789-4")</f>
        <v>09.2024.00014789-4</v>
      </c>
      <c r="D605" s="4">
        <v>45454</v>
      </c>
      <c r="E605" s="16" t="s">
        <v>583</v>
      </c>
      <c r="F605" s="2" t="s">
        <v>584</v>
      </c>
      <c r="G605" s="5" t="str">
        <f>HYPERLINK("http://www8.mpce.mp.br/Empenhos/150001/NE/2024NE001405.pdf","2024NE001405")</f>
        <v>2024NE001405</v>
      </c>
      <c r="H605" s="6">
        <v>16390</v>
      </c>
      <c r="I605" s="7" t="s">
        <v>585</v>
      </c>
      <c r="J605" s="10" t="s">
        <v>871</v>
      </c>
      <c r="K605" t="str">
        <f>HYPERLINK("http://www8.mpce.mp.br/Empenhos/150501/NE/2024NE000666.pdf","2024NE000666")</f>
        <v>2024NE000666</v>
      </c>
      <c r="L605" s="13">
        <v>35718.5</v>
      </c>
      <c r="M605" t="s">
        <v>244</v>
      </c>
      <c r="N605">
        <v>3773788000167</v>
      </c>
    </row>
    <row r="606" spans="1:14" ht="150" x14ac:dyDescent="0.25">
      <c r="A606" s="12" t="s">
        <v>9</v>
      </c>
      <c r="B606" s="2" t="s">
        <v>915</v>
      </c>
      <c r="C606" s="3" t="str">
        <f>HYPERLINK("https://transparencia-area-fim.mpce.mp.br/#/consulta/processo/pastadigital/092023000079630","09.2023.00007963-0")</f>
        <v>09.2023.00007963-0</v>
      </c>
      <c r="D606" s="4">
        <v>45608</v>
      </c>
      <c r="E606" s="17" t="str">
        <f>HYPERLINK("https://www8.mpce.mp.br/Empenhos/150001/Objeto/15-2023.pdf","PRESTAÇÃO DE SERVIÇOS TÉCNICOS ESPECIALIZADOS DE PESQUISA E ACONSELHAMENTO IMPARCIAL EM TECNOLOGIA DA INFORMAÇÃO - EXECUTIVE PROGRAMS LEADERSHIP TEAM PLUS LEADER E TEAM PLUS IT EXECUTIVE"&amp;" _ LICENÇA DE ATUAÇÃO ESTRATÉGICA DE APOIO E ACONSELHAMENTO PARA EXECUTIVO DE TI, P/ USUÁRIO EXECUTIVO TITULAR, INCLUINDO ACESSO A UM CONSELHEIRO EXECUTIVO, ACESSO A ANALISTAS E A BASE DE "&amp;"CONHECIMENTO DESTINADAS AO NÍVEL DE ATUAÇÃO GERENCIAL, REF. AOS MESES DE NOVEMBRO E DEZEMBRO DE 2024, CONF. CONTRATO Nº 015/2023.")</f>
        <v>PRESTAÇÃO DE SERVIÇOS TÉCNICOS ESPECIALIZADOS DE PESQUISA E ACONSELHAMENTO IMPARCIAL EM TECNOLOGIA DA INFORMAÇÃO - EXECUTIVE PROGRAMS LEADERSHIP TEAM PLUS LEADER E TEAM PLUS IT EXECUTIVE _ LICENÇA DE ATUAÇÃO ESTRATÉGICA DE APOIO E ACONSELHAMENTO PARA EXECUTIVO DE TI, P/ USUÁRIO EXECUTIVO TITULAR, INCLUINDO ACESSO A UM CONSELHEIRO EXECUTIVO, ACESSO A ANALISTAS E A BASE DE CONHECIMENTO DESTINADAS AO NÍVEL DE ATUAÇÃO GERENCIAL, REF. AOS MESES DE NOVEMBRO E DEZEMBRO DE 2024, CONF. CONTRATO Nº 015/2023.</v>
      </c>
      <c r="F606" s="2" t="s">
        <v>109</v>
      </c>
      <c r="G606" s="5" t="str">
        <f>HYPERLINK("http://www8.mpce.mp.br/Empenhos/150501/NE/2024NE001410.pdf","2024NE001410")</f>
        <v>2024NE001410</v>
      </c>
      <c r="H606" s="6">
        <v>131200</v>
      </c>
      <c r="I606" s="7" t="s">
        <v>113</v>
      </c>
      <c r="J606" s="10" t="s">
        <v>114</v>
      </c>
      <c r="K606" t="str">
        <f>HYPERLINK("http://www8.mpce.mp.br/Empenhos/150001/NE/2024NE000673.pdf","2024NE000673")</f>
        <v>2024NE000673</v>
      </c>
      <c r="L606">
        <v>900</v>
      </c>
      <c r="M606" t="s">
        <v>69</v>
      </c>
      <c r="N606">
        <v>7544786000157</v>
      </c>
    </row>
    <row r="607" spans="1:14" ht="75" x14ac:dyDescent="0.25">
      <c r="A607" s="12" t="s">
        <v>34</v>
      </c>
      <c r="B607" s="2" t="s">
        <v>916</v>
      </c>
      <c r="C607" s="3" t="str">
        <f>HYPERLINK("https://transparencia-area-fim.mpce.mp.br/#/consulta/processo/pastadigital/092021000079244","09.2021.00007924-4")</f>
        <v>09.2021.00007924-4</v>
      </c>
      <c r="D607" s="4">
        <v>45608</v>
      </c>
      <c r="E607" s="17" t="str">
        <f>HYPERLINK("https://www8.mpce.mp.br/Empenhos/150001/Objeto/27-2021.pdf","EMPENHO DAS 7ª E  8ª PARCELAS DO IPTU DE 2024, DA SALA 403, REF. AO IMÓVEL ONDE FUNCIONAM AS PROMOTORIAS DE JUSTIÇA DE EUSÉBIO, LOCALIZADO NA AVENIDA EUSÉBIO DE QUEIROZ"&amp;", N° 4808, BAIRRO CENTRO, EUSÉBIO-CE (EDIFÍCIO OFFICE &amp; MEDICAL, CONF. CONTRATO Nº 027/2021.")</f>
        <v>EMPENHO DAS 7ª E  8ª PARCELAS DO IPTU DE 2024, DA SALA 403, REF. AO IMÓVEL ONDE FUNCIONAM AS PROMOTORIAS DE JUSTIÇA DE EUSÉBIO, LOCALIZADO NA AVENIDA EUSÉBIO DE QUEIROZ, N° 4808, BAIRRO CENTRO, EUSÉBIO-CE (EDIFÍCIO OFFICE &amp; MEDICAL, CONF. CONTRATO Nº 027/2021.</v>
      </c>
      <c r="F607" s="2" t="s">
        <v>252</v>
      </c>
      <c r="G607" s="5" t="str">
        <f>HYPERLINK("http://www8.mpce.mp.br/Empenhos/150501/NE/2024NE001411.pdf","2024NE001411")</f>
        <v>2024NE001411</v>
      </c>
      <c r="H607" s="6">
        <v>304.77</v>
      </c>
      <c r="I607" s="7" t="s">
        <v>144</v>
      </c>
      <c r="J607" s="10" t="s">
        <v>145</v>
      </c>
      <c r="K607" t="str">
        <f>HYPERLINK("http://www8.mpce.mp.br/Empenhos/150001/NE/2024NE000684.pdf","2024NE000684")</f>
        <v>2024NE000684</v>
      </c>
      <c r="L607">
        <v>188.73</v>
      </c>
      <c r="M607" t="s">
        <v>66</v>
      </c>
      <c r="N607">
        <v>5722202000160</v>
      </c>
    </row>
    <row r="608" spans="1:14" ht="38.25" x14ac:dyDescent="0.25">
      <c r="A608" s="12" t="s">
        <v>9</v>
      </c>
      <c r="B608" s="2" t="s">
        <v>917</v>
      </c>
      <c r="C608" s="3" t="str">
        <f>HYPERLINK("https://transparencia-area-fim.mpce.mp.br/#/consulta/processo/pastadigital/092023000255300","09.2023.00025530-0")</f>
        <v>09.2023.00025530-0</v>
      </c>
      <c r="D608" s="4">
        <v>45608</v>
      </c>
      <c r="E608" s="16" t="str">
        <f>HYPERLINK("https://www8.mpce.mp.br/Empenhos/150001/Objeto/42-2024.pdf","EMPENHO REF. SERVIÇOS DE ACOMPANHAMENTO DA OPERAÇÃO SAJ-MP, CONF. CONTRATO 042/2024, REF. A NOV. E DEZEMBRO DE 2024")</f>
        <v>EMPENHO REF. SERVIÇOS DE ACOMPANHAMENTO DA OPERAÇÃO SAJ-MP, CONF. CONTRATO 042/2024, REF. A NOV. E DEZEMBRO DE 2024</v>
      </c>
      <c r="F608" s="2" t="s">
        <v>250</v>
      </c>
      <c r="G608" s="5" t="str">
        <f>HYPERLINK("http://www8.mpce.mp.br/Empenhos/150501/NE/2024NE001414.pdf","2024NE001414")</f>
        <v>2024NE001414</v>
      </c>
      <c r="H608" s="6">
        <v>145714</v>
      </c>
      <c r="I608" s="7" t="s">
        <v>72</v>
      </c>
      <c r="J608" s="10" t="s">
        <v>73</v>
      </c>
      <c r="K608" t="str">
        <f>HYPERLINK("http://www8.mpce.mp.br/Empenhos/150001/NE/2024NE000685.pdf","2024NE000685")</f>
        <v>2024NE000685</v>
      </c>
      <c r="L608">
        <v>150</v>
      </c>
      <c r="M608" t="s">
        <v>63</v>
      </c>
      <c r="N608">
        <v>29038683000158</v>
      </c>
    </row>
    <row r="609" spans="1:14" ht="63.75" x14ac:dyDescent="0.25">
      <c r="A609" s="12" t="s">
        <v>9</v>
      </c>
      <c r="B609" s="2" t="s">
        <v>586</v>
      </c>
      <c r="C609" s="3" t="str">
        <f>HYPERLINK("https://transparencia-area-fim.mpce.mp.br/#/consulta/processo/pastadigital/092024000192512","09.2024.00019251-2")</f>
        <v>09.2024.00019251-2</v>
      </c>
      <c r="D609" s="4">
        <v>45454</v>
      </c>
      <c r="E609" s="16" t="s">
        <v>587</v>
      </c>
      <c r="F609" s="2" t="s">
        <v>373</v>
      </c>
      <c r="G609" s="5" t="str">
        <f>HYPERLINK("http://www8.mpce.mp.br/Empenhos/150001/NE/2024NE001414.pdf","2024NE001414")</f>
        <v>2024NE001414</v>
      </c>
      <c r="H609" s="6">
        <v>26162.15</v>
      </c>
      <c r="I609" s="7" t="s">
        <v>588</v>
      </c>
      <c r="J609" s="10" t="s">
        <v>872</v>
      </c>
      <c r="K609" t="str">
        <f>HYPERLINK("http://www8.mpce.mp.br/Empenhos/150001/NE/2024NE000686.pdf","2024NE000686")</f>
        <v>2024NE000686</v>
      </c>
      <c r="L609">
        <v>900</v>
      </c>
      <c r="M609" t="s">
        <v>32</v>
      </c>
      <c r="N609">
        <v>7434954000151</v>
      </c>
    </row>
    <row r="610" spans="1:14" ht="38.25" x14ac:dyDescent="0.25">
      <c r="A610" s="12" t="s">
        <v>9</v>
      </c>
      <c r="B610" s="2" t="s">
        <v>918</v>
      </c>
      <c r="C610" s="3" t="str">
        <f>HYPERLINK("https://transparencia-area-fim.mpce.mp.br/#/consulta/processo/pastadigital/092023000255300","09.2023.00025530-0")</f>
        <v>09.2023.00025530-0</v>
      </c>
      <c r="D610" s="4">
        <v>45608</v>
      </c>
      <c r="E610" s="16" t="str">
        <f>HYPERLINK("https://www8.mpce.mp.br/Empenhos/150001/Objeto/42-2024.pdf","SERVIÇOS DE HOSPEDAGEM EM NUVEM, CONF. CONTRATO 042/2024, REF. AOS MESES DE NOVEMBRO E DEZEMBRO DE 2024.")</f>
        <v>SERVIÇOS DE HOSPEDAGEM EM NUVEM, CONF. CONTRATO 042/2024, REF. AOS MESES DE NOVEMBRO E DEZEMBRO DE 2024.</v>
      </c>
      <c r="F610" s="2" t="s">
        <v>624</v>
      </c>
      <c r="G610" s="5" t="str">
        <f>HYPERLINK("http://www8.mpce.mp.br/Empenhos/150501/NE/2024NE001416.pdf","2024NE001416")</f>
        <v>2024NE001416</v>
      </c>
      <c r="H610" s="6">
        <v>209000</v>
      </c>
      <c r="I610" s="7" t="s">
        <v>72</v>
      </c>
      <c r="J610" s="10" t="s">
        <v>73</v>
      </c>
      <c r="K610" t="str">
        <f>HYPERLINK("http://www8.mpce.mp.br/Empenhos/150001/NE/2024NE000690.pdf","2024NE000690")</f>
        <v>2024NE000690</v>
      </c>
      <c r="L610">
        <v>735.48</v>
      </c>
      <c r="M610" t="s">
        <v>27</v>
      </c>
      <c r="N610">
        <v>7625932000179</v>
      </c>
    </row>
    <row r="611" spans="1:14" ht="51" x14ac:dyDescent="0.25">
      <c r="A611" s="12" t="s">
        <v>9</v>
      </c>
      <c r="B611" s="2" t="s">
        <v>919</v>
      </c>
      <c r="C611" s="3" t="str">
        <f>HYPERLINK("https://transparencia-area-fim.mpce.mp.br/#/consulta/processo/pastadigital/092023000255300","09.2023.00025530-0")</f>
        <v>09.2023.00025530-0</v>
      </c>
      <c r="D611" s="4">
        <v>45608</v>
      </c>
      <c r="E611" s="16" t="str">
        <f>HYPERLINK("https://www8.mpce.mp.br/Empenhos/150001/Objeto/42-2024.pdf","EMPENHO REF. SERVIÇOS DE GARANTIA DE EVOLUÇÃO TECNOLÓGICA E FUNCIONAL - GETF SAJ-MP, CONF. CONTRATO 042/2024, RELATIVO AOS MESES DE NOVEMBRO E DEZEMBRO DE 2024.")</f>
        <v>EMPENHO REF. SERVIÇOS DE GARANTIA DE EVOLUÇÃO TECNOLÓGICA E FUNCIONAL - GETF SAJ-MP, CONF. CONTRATO 042/2024, RELATIVO AOS MESES DE NOVEMBRO E DEZEMBRO DE 2024.</v>
      </c>
      <c r="F611" s="2" t="s">
        <v>71</v>
      </c>
      <c r="G611" s="5" t="str">
        <f>HYPERLINK("http://www8.mpce.mp.br/Empenhos/150501/NE/2024NE001418.pdf","2024NE001418")</f>
        <v>2024NE001418</v>
      </c>
      <c r="H611" s="6">
        <v>306856</v>
      </c>
      <c r="I611" s="7" t="s">
        <v>72</v>
      </c>
      <c r="J611" s="10" t="s">
        <v>73</v>
      </c>
      <c r="K611" t="str">
        <f>HYPERLINK("http://www8.mpce.mp.br/Empenhos/150001/NE/2024NE000692.pdf","2024NE000692")</f>
        <v>2024NE000692</v>
      </c>
      <c r="L611">
        <v>226.05</v>
      </c>
      <c r="M611" t="s">
        <v>14</v>
      </c>
      <c r="N611">
        <v>7676836000150</v>
      </c>
    </row>
    <row r="612" spans="1:14" ht="38.25" x14ac:dyDescent="0.25">
      <c r="A612" s="12" t="s">
        <v>9</v>
      </c>
      <c r="B612" s="2" t="s">
        <v>796</v>
      </c>
      <c r="C612" s="3" t="str">
        <f>HYPERLINK("https://transparencia-area-fim.mpce.mp.br/#/consulta/processo/pastadigital/092023000255300","09.2023.00025530-0")</f>
        <v>09.2023.00025530-0</v>
      </c>
      <c r="D612" s="4">
        <v>45621</v>
      </c>
      <c r="E612" s="16" t="str">
        <f>HYPERLINK("https://www8.mpce.mp.br/Empenhos/150001/Objeto/42-2024.pdf","EMPENHO REF. SERVIÇO DE SUSTENTAÇÃO SAJ-MP, CONF. CONTRATO 042/2024, REF. NOV E DEZ/2024, POR ESTIMATIVA.")</f>
        <v>EMPENHO REF. SERVIÇO DE SUSTENTAÇÃO SAJ-MP, CONF. CONTRATO 042/2024, REF. NOV E DEZ/2024, POR ESTIMATIVA.</v>
      </c>
      <c r="F612" s="2" t="s">
        <v>71</v>
      </c>
      <c r="G612" s="5" t="str">
        <f>HYPERLINK("http://www8.mpce.mp.br/Empenhos/150501/NE/2024NE001420.pdf","2024NE001420")</f>
        <v>2024NE001420</v>
      </c>
      <c r="H612" s="6">
        <v>165216</v>
      </c>
      <c r="I612" s="7" t="s">
        <v>72</v>
      </c>
      <c r="J612" s="10" t="s">
        <v>73</v>
      </c>
      <c r="K612" t="str">
        <f>HYPERLINK("http://www8.mpce.mp.br/Empenhos/150001/NE/2024NE000693.pdf","2024NE000693")</f>
        <v>2024NE000693</v>
      </c>
      <c r="L612">
        <v>615</v>
      </c>
      <c r="M612" t="s">
        <v>19</v>
      </c>
      <c r="N612">
        <v>7742778000115</v>
      </c>
    </row>
    <row r="613" spans="1:14" ht="38.25" x14ac:dyDescent="0.25">
      <c r="A613" s="12" t="s">
        <v>9</v>
      </c>
      <c r="B613" s="2" t="s">
        <v>796</v>
      </c>
      <c r="C613" s="3" t="str">
        <f>HYPERLINK("https://transparencia-area-fim.mpce.mp.br/#/consulta/processo/pastadigital/092023000255300","09.2023.00025530-0")</f>
        <v>09.2023.00025530-0</v>
      </c>
      <c r="D613" s="4">
        <v>45610</v>
      </c>
      <c r="E613" s="16" t="str">
        <f>HYPERLINK("https://www8.mpce.mp.br/Empenhos/150001/Objeto/42-2024.pdf","EMPENHO REF. SERVIÇO DE SUPORTE ESTENDIDO, CONF. CONTRATO 042/2024, REF. NOV E DEZ/2024, POR ESTIMATIVA.")</f>
        <v>EMPENHO REF. SERVIÇO DE SUPORTE ESTENDIDO, CONF. CONTRATO 042/2024, REF. NOV E DEZ/2024, POR ESTIMATIVA.</v>
      </c>
      <c r="F613" s="2" t="s">
        <v>71</v>
      </c>
      <c r="G613" s="5" t="str">
        <f>HYPERLINK("http://www8.mpce.mp.br/Empenhos/150501/NE/2024NE001423.pdf","2024NE001423")</f>
        <v>2024NE001423</v>
      </c>
      <c r="H613" s="6">
        <v>27793.8</v>
      </c>
      <c r="I613" s="7" t="s">
        <v>72</v>
      </c>
      <c r="J613" s="10" t="s">
        <v>73</v>
      </c>
      <c r="K613" t="str">
        <f>HYPERLINK("http://www8.mpce.mp.br/Empenhos/150001/NE/2024NE000695.pdf","2024NE000695")</f>
        <v>2024NE000695</v>
      </c>
      <c r="L613" s="13">
        <v>3000</v>
      </c>
      <c r="M613" t="s">
        <v>98</v>
      </c>
      <c r="N613">
        <v>7817778000137</v>
      </c>
    </row>
    <row r="614" spans="1:14" ht="51" x14ac:dyDescent="0.25">
      <c r="A614" s="12" t="s">
        <v>9</v>
      </c>
      <c r="B614" s="2" t="s">
        <v>589</v>
      </c>
      <c r="C614" s="3" t="str">
        <f>HYPERLINK("https://transparencia-area-fim.mpce.mp.br/#/consulta/processo/pastadigital/092024000196252","09.2024.00019625-2")</f>
        <v>09.2024.00019625-2</v>
      </c>
      <c r="D614" s="4">
        <v>45455</v>
      </c>
      <c r="E614" s="16" t="s">
        <v>590</v>
      </c>
      <c r="F614" s="2" t="s">
        <v>296</v>
      </c>
      <c r="G614" s="5" t="str">
        <f>HYPERLINK("http://www8.mpce.mp.br/Empenhos/150001/NE/2024NE001426.pdf","2024NE001426")</f>
        <v>2024NE001426</v>
      </c>
      <c r="H614" s="6">
        <v>600000</v>
      </c>
      <c r="I614" s="7" t="s">
        <v>297</v>
      </c>
      <c r="J614" s="10" t="s">
        <v>832</v>
      </c>
      <c r="K614" t="str">
        <f>HYPERLINK("http://www8.mpce.mp.br/Empenhos/150001/NE/2024NE000696.pdf","2024NE000696")</f>
        <v>2024NE000696</v>
      </c>
      <c r="L614">
        <v>419.16</v>
      </c>
      <c r="M614" t="s">
        <v>101</v>
      </c>
      <c r="N614">
        <v>7852676000152</v>
      </c>
    </row>
    <row r="615" spans="1:14" ht="51" x14ac:dyDescent="0.25">
      <c r="A615" s="12" t="s">
        <v>9</v>
      </c>
      <c r="B615" s="2" t="s">
        <v>589</v>
      </c>
      <c r="C615" s="3" t="str">
        <f>HYPERLINK("https://transparencia-area-fim.mpce.mp.br/#/consulta/processo/pastadigital/092024000193877","09.2024.00019387-7")</f>
        <v>09.2024.00019387-7</v>
      </c>
      <c r="D615" s="4">
        <v>45455</v>
      </c>
      <c r="E615" s="16" t="s">
        <v>591</v>
      </c>
      <c r="F615" s="2" t="s">
        <v>296</v>
      </c>
      <c r="G615" s="5" t="str">
        <f>HYPERLINK("http://www8.mpce.mp.br/Empenhos/150001/NE/2024NE001427.pdf","2024NE001427")</f>
        <v>2024NE001427</v>
      </c>
      <c r="H615" s="6">
        <v>360000</v>
      </c>
      <c r="I615" s="7" t="s">
        <v>297</v>
      </c>
      <c r="J615" s="10" t="s">
        <v>832</v>
      </c>
      <c r="K615" t="str">
        <f>HYPERLINK("http://www8.mpce.mp.br/Empenhos/150501/NE/2024NE000697.pdf","2024NE000697")</f>
        <v>2024NE000697</v>
      </c>
      <c r="L615">
        <v>460.12</v>
      </c>
      <c r="M615" t="s">
        <v>229</v>
      </c>
      <c r="N615">
        <v>78214130387</v>
      </c>
    </row>
    <row r="616" spans="1:14" ht="51" x14ac:dyDescent="0.25">
      <c r="A616" s="12" t="s">
        <v>34</v>
      </c>
      <c r="B616" s="2" t="s">
        <v>768</v>
      </c>
      <c r="C616" s="3" t="str">
        <f>HYPERLINK("https://transparencia-area-fim.mpce.mp.br/#/consulta/processo/pastadigital/092021000079244","09.2021.00007924-4")</f>
        <v>09.2021.00007924-4</v>
      </c>
      <c r="D616" s="4">
        <v>45608</v>
      </c>
      <c r="E616" s="16" t="str">
        <f>HYPERLINK("https://www8.mpce.mp.br/Empenhos/150001/Objeto/27-2021.pdf","EMPENHO REF. REEMBOLSO DE IPTU DE IMÓVEL ONDE FUNCIONA SEDE DE PROMOTORIAS DE JUSTIÇA DA COMARCA DE EUSÉBIO, CONF. CONTRATO 027/2021, REF. 2024 - PARCELAS 07 E 08/08.")</f>
        <v>EMPENHO REF. REEMBOLSO DE IPTU DE IMÓVEL ONDE FUNCIONA SEDE DE PROMOTORIAS DE JUSTIÇA DA COMARCA DE EUSÉBIO, CONF. CONTRATO 027/2021, REF. 2024 - PARCELAS 07 E 08/08.</v>
      </c>
      <c r="F616" s="2" t="s">
        <v>252</v>
      </c>
      <c r="G616" s="5" t="str">
        <f>HYPERLINK("http://www8.mpce.mp.br/Empenhos/150501/NE/2024NE001435.pdf","2024NE001435")</f>
        <v>2024NE001435</v>
      </c>
      <c r="H616" s="6">
        <v>914.31</v>
      </c>
      <c r="I616" s="7" t="s">
        <v>144</v>
      </c>
      <c r="J616" s="10" t="s">
        <v>145</v>
      </c>
      <c r="K616" t="str">
        <f>HYPERLINK("http://www8.mpce.mp.br/Empenhos/150501/NE/2024NE000701.pdf","2024NE000701")</f>
        <v>2024NE000701</v>
      </c>
      <c r="L616" s="13">
        <v>31935.48</v>
      </c>
      <c r="M616" t="s">
        <v>244</v>
      </c>
      <c r="N616">
        <v>3773788000167</v>
      </c>
    </row>
    <row r="617" spans="1:14" ht="51" x14ac:dyDescent="0.25">
      <c r="A617" s="12" t="s">
        <v>34</v>
      </c>
      <c r="B617" s="2" t="s">
        <v>768</v>
      </c>
      <c r="C617" s="3" t="str">
        <f>HYPERLINK("https://transparencia-area-fim.mpce.mp.br/#/consulta/processo/pastadigital/092021000155016","09.2021.00015501-6")</f>
        <v>09.2021.00015501-6</v>
      </c>
      <c r="D617" s="4">
        <v>45608</v>
      </c>
      <c r="E617" s="16" t="str">
        <f>HYPERLINK("https://www8.mpce.mp.br/Empenhos/150001/Objeto/26-2021.pdf","EMPENHO REF. IPTU DE IMÓVEL SITUADO EM BREJO SANTO-CE, ONDE FUNCIONA SEDE DE PROMOTORIAS DE JUSTIÇA DAQUELA COMARCA, CONF. CONTRATO 026/2021, REF. 2024 - PARCELA ÚNICA.")</f>
        <v>EMPENHO REF. IPTU DE IMÓVEL SITUADO EM BREJO SANTO-CE, ONDE FUNCIONA SEDE DE PROMOTORIAS DE JUSTIÇA DAQUELA COMARCA, CONF. CONTRATO 026/2021, REF. 2024 - PARCELA ÚNICA.</v>
      </c>
      <c r="F617" s="2" t="s">
        <v>223</v>
      </c>
      <c r="G617" s="5" t="str">
        <f>HYPERLINK("http://www8.mpce.mp.br/Empenhos/150501/NE/2024NE001438.pdf","2024NE001438")</f>
        <v>2024NE001438</v>
      </c>
      <c r="H617" s="6">
        <v>431.18</v>
      </c>
      <c r="I617" s="7" t="s">
        <v>203</v>
      </c>
      <c r="J617" s="10" t="s">
        <v>204</v>
      </c>
      <c r="K617" t="str">
        <f>HYPERLINK("http://www8.mpce.mp.br/Empenhos/150501/NE/2024NE000701.pdf","2024NE000701")</f>
        <v>2024NE000701</v>
      </c>
      <c r="L617" s="13">
        <v>31935.48</v>
      </c>
      <c r="M617" t="s">
        <v>244</v>
      </c>
      <c r="N617">
        <v>3773788000167</v>
      </c>
    </row>
    <row r="618" spans="1:14" ht="51" x14ac:dyDescent="0.25">
      <c r="A618" s="12" t="s">
        <v>9</v>
      </c>
      <c r="B618" s="2" t="s">
        <v>797</v>
      </c>
      <c r="C618" s="3" t="str">
        <f>HYPERLINK("https://transparencia-area-fim.mpce.mp.br/#/consulta/processo/pastadigital/092024000035957","09.2024.00003595-7")</f>
        <v>09.2024.00003595-7</v>
      </c>
      <c r="D618" s="4">
        <v>45608</v>
      </c>
      <c r="E618" s="16" t="str">
        <f>HYPERLINK("https://www8.mpce.mp.br/Empenhos/150001/Objeto/21-2024.pdf","EMPENHO REF. TREINAMENTO PRESENCIAL EM MEDIA E SPEAKER TRAINING + MENTORIA PARA 01 PESSOA (8 HORAS/AULA), POR INEXIGIBILIDADE DE LICITAÇÃO, CONF. CONTRATO 021/2024, POR ESTIMATIVA.")</f>
        <v>EMPENHO REF. TREINAMENTO PRESENCIAL EM MEDIA E SPEAKER TRAINING + MENTORIA PARA 01 PESSOA (8 HORAS/AULA), POR INEXIGIBILIDADE DE LICITAÇÃO, CONF. CONTRATO 021/2024, POR ESTIMATIVA.</v>
      </c>
      <c r="F618" s="2" t="s">
        <v>373</v>
      </c>
      <c r="G618" s="5" t="str">
        <f>HYPERLINK("http://www8.mpce.mp.br/Empenhos/150501/NE/2024NE001440.pdf","2024NE001440")</f>
        <v>2024NE001440</v>
      </c>
      <c r="H618" s="6">
        <v>8900</v>
      </c>
      <c r="I618" s="7" t="s">
        <v>920</v>
      </c>
      <c r="J618" s="10" t="s">
        <v>981</v>
      </c>
      <c r="K618" t="str">
        <f>HYPERLINK("http://www8.mpce.mp.br/Empenhos/150501/NE/2024NE000701.pdf","2024NE000701")</f>
        <v>2024NE000701</v>
      </c>
      <c r="L618" s="13">
        <v>31935.48</v>
      </c>
      <c r="M618" t="s">
        <v>244</v>
      </c>
      <c r="N618">
        <v>3773788000167</v>
      </c>
    </row>
    <row r="619" spans="1:14" ht="51" x14ac:dyDescent="0.25">
      <c r="A619" s="12" t="s">
        <v>34</v>
      </c>
      <c r="B619" s="2" t="s">
        <v>921</v>
      </c>
      <c r="C619" s="3" t="str">
        <f>HYPERLINK("https://transparencia-area-fim.mpce.mp.br/#/consulta/processo/pastadigital/092022000343829","09.2022.00034382-9")</f>
        <v>09.2022.00034382-9</v>
      </c>
      <c r="D619" s="4">
        <v>45609</v>
      </c>
      <c r="E619" s="16" t="str">
        <f>HYPERLINK("https://www8.mpce.mp.br/Empenhos/150001/Objeto/10-2023.pdf","EMPENHO REF. ALUGUEL DE IMÓVEL ONDE FUNCIONA SEDE DE PROMOTORIAS DE JUSTIÇA DA COMARCA DE ITAPAJÉ , CONF. CONTRATO 010/2023, REF. NOV E DEZEMBRO/2024.")</f>
        <v>EMPENHO REF. ALUGUEL DE IMÓVEL ONDE FUNCIONA SEDE DE PROMOTORIAS DE JUSTIÇA DA COMARCA DE ITAPAJÉ , CONF. CONTRATO 010/2023, REF. NOV E DEZEMBRO/2024.</v>
      </c>
      <c r="F619" s="2" t="s">
        <v>116</v>
      </c>
      <c r="G619" s="5" t="str">
        <f>HYPERLINK("http://www8.mpce.mp.br/Empenhos/150501/NE/2024NE001453.pdf","2024NE001453")</f>
        <v>2024NE001453</v>
      </c>
      <c r="H619" s="6">
        <v>27224</v>
      </c>
      <c r="I619" s="7" t="s">
        <v>129</v>
      </c>
      <c r="J619" s="10" t="s">
        <v>130</v>
      </c>
      <c r="K619" t="str">
        <f>HYPERLINK("http://www8.mpce.mp.br/Empenhos/150001/NE/2024NE000702.pdf","2024NE000702")</f>
        <v>2024NE000702</v>
      </c>
      <c r="L619" s="13">
        <v>45000</v>
      </c>
      <c r="M619" t="s">
        <v>104</v>
      </c>
      <c r="N619">
        <v>7040108000157</v>
      </c>
    </row>
    <row r="620" spans="1:14" ht="63.75" x14ac:dyDescent="0.25">
      <c r="A620" s="12" t="s">
        <v>9</v>
      </c>
      <c r="B620" s="2" t="s">
        <v>914</v>
      </c>
      <c r="C620" s="3" t="str">
        <f>HYPERLINK("https://transparencia-area-fim.mpce.mp.br/#/consulta/processo/pastadigital/092024000173970","09.2024.00017397-0")</f>
        <v>09.2024.00017397-0</v>
      </c>
      <c r="D620" s="4">
        <v>45614</v>
      </c>
      <c r="E620" s="16" t="str">
        <f>HYPERLINK("https://www8.mpce.mp.br/Empenhos/150001/Objeto/44-2024.pdf","EMPENHO DAS FATURAS DOS MES DE AGOSTO, SETEMBRO E NOVEMBRO  DO ANO DE 2024, REF. AO FORNECIMENTO DE ENERGIA ELÉTRICA PARA AS PROMOTORIAS DE JUSTIÇA DE ACARAÚ, LOCALIZADA À RUA FLORIANO PEIXOTO, OUTRA BANDA, ACARAÚ, CONF. CONTRATO Nº 044/2024.")</f>
        <v>EMPENHO DAS FATURAS DOS MES DE AGOSTO, SETEMBRO E NOVEMBRO  DO ANO DE 2024, REF. AO FORNECIMENTO DE ENERGIA ELÉTRICA PARA AS PROMOTORIAS DE JUSTIÇA DE ACARAÚ, LOCALIZADA À RUA FLORIANO PEIXOTO, OUTRA BANDA, ACARAÚ, CONF. CONTRATO Nº 044/2024.</v>
      </c>
      <c r="F620" s="2" t="s">
        <v>296</v>
      </c>
      <c r="G620" s="5" t="str">
        <f>HYPERLINK("http://www8.mpce.mp.br/Empenhos/150501/NE/2024NE001458.pdf","2024NE001458")</f>
        <v>2024NE001458</v>
      </c>
      <c r="H620" s="6">
        <v>4238.96</v>
      </c>
      <c r="I620" s="7" t="s">
        <v>686</v>
      </c>
      <c r="J620" s="10" t="s">
        <v>857</v>
      </c>
      <c r="K620" t="str">
        <f>HYPERLINK("http://www8.mpce.mp.br/Empenhos/150001/NE/2024NE000703.pdf","2024NE000703")</f>
        <v>2024NE000703</v>
      </c>
      <c r="L620" s="13">
        <v>2850</v>
      </c>
      <c r="M620" t="s">
        <v>138</v>
      </c>
      <c r="N620">
        <v>90347840001190</v>
      </c>
    </row>
    <row r="621" spans="1:14" ht="63.75" x14ac:dyDescent="0.25">
      <c r="A621" s="12" t="s">
        <v>34</v>
      </c>
      <c r="B621" s="2" t="s">
        <v>181</v>
      </c>
      <c r="C621" s="3" t="str">
        <f>HYPERLINK("https://transparencia-area-fim.mpce.mp.br/#/consulta/processo/pastadigital/092022000197876","09.2022.00019787-6")</f>
        <v>09.2022.00019787-6</v>
      </c>
      <c r="D621" s="4">
        <v>45614</v>
      </c>
      <c r="E621" s="16" t="str">
        <f>HYPERLINK("https://www8.mpce.mp.br/Empenhos/150001/Objeto/02-2023.pdf","REFORÇO DA NOTA DE EMPENHO Nº 2024NE001469, RELATIVO AO ALUGUEL DO IMÓVEL ONDE FUNCIONA A SEDE DO NÚCLEO DE MEDIAÇÃO COMUNITÁRIA DO BOM JARDIM, CONF. CONTRATO 002/2023, REF. AOS MESES DE NOVEMBRO E DEZEMBRO DE 2024.")</f>
        <v>REFORÇO DA NOTA DE EMPENHO Nº 2024NE001469, RELATIVO AO ALUGUEL DO IMÓVEL ONDE FUNCIONA A SEDE DO NÚCLEO DE MEDIAÇÃO COMUNITÁRIA DO BOM JARDIM, CONF. CONTRATO 002/2023, REF. AOS MESES DE NOVEMBRO E DEZEMBRO DE 2024.</v>
      </c>
      <c r="F621" s="2" t="s">
        <v>116</v>
      </c>
      <c r="G621" s="5" t="str">
        <f>HYPERLINK("http://www8.mpce.mp.br/Empenhos/150501/NE/2024NE001469.pdf","2024NE001469")</f>
        <v>2024NE001469</v>
      </c>
      <c r="H621" s="6">
        <v>11200</v>
      </c>
      <c r="I621" s="7" t="s">
        <v>123</v>
      </c>
      <c r="J621" s="10" t="s">
        <v>124</v>
      </c>
      <c r="K621" t="str">
        <f>HYPERLINK("http://www8.mpce.mp.br/Empenhos/150501/NE/2024NE000703.pdf","2024NE000703")</f>
        <v>2024NE000703</v>
      </c>
      <c r="L621" s="13">
        <v>6216.42</v>
      </c>
      <c r="M621" t="s">
        <v>244</v>
      </c>
      <c r="N621">
        <v>3773788000167</v>
      </c>
    </row>
    <row r="622" spans="1:14" ht="63.75" x14ac:dyDescent="0.25">
      <c r="A622" s="12" t="s">
        <v>34</v>
      </c>
      <c r="B622" s="2" t="s">
        <v>922</v>
      </c>
      <c r="C622" s="3" t="str">
        <f>HYPERLINK("https://transparencia-area-fim.mpce.mp.br/#/consulta/processo/pastadigital/092021000121226","09.2021.00012122-6")</f>
        <v>09.2021.00012122-6</v>
      </c>
      <c r="D622" s="4">
        <v>45610</v>
      </c>
      <c r="E622" s="16" t="str">
        <f>HYPERLINK("https://www8.mpce.mp.br/Empenhos/150001/Objeto/34-2021.pdf","EMPENHO DAS 1ª, 2ª E 3ª PARCELAS DO IPTU DE 2024, REF. AO IMÓVEL ONDE FUNCIONAM PROMOTORIAS DE JUSTIÇA DE SÃO BENEDITO - CE, LOCALIZADA À AVENIDA FRANCISCO FERREIRA LIMA, 251, BAIRRO SERRAVILLE, CONF CONTRATO Nº 034/2021.")</f>
        <v>EMPENHO DAS 1ª, 2ª E 3ª PARCELAS DO IPTU DE 2024, REF. AO IMÓVEL ONDE FUNCIONAM PROMOTORIAS DE JUSTIÇA DE SÃO BENEDITO - CE, LOCALIZADA À AVENIDA FRANCISCO FERREIRA LIMA, 251, BAIRRO SERRAVILLE, CONF CONTRATO Nº 034/2021.</v>
      </c>
      <c r="F622" s="2" t="s">
        <v>223</v>
      </c>
      <c r="G622" s="5" t="str">
        <f>HYPERLINK("http://www8.mpce.mp.br/Empenhos/150501/NE/2024NE001482.pdf","2024NE001482")</f>
        <v>2024NE001482</v>
      </c>
      <c r="H622" s="6">
        <v>369.29</v>
      </c>
      <c r="I622" s="7" t="s">
        <v>193</v>
      </c>
      <c r="J622" s="10" t="s">
        <v>194</v>
      </c>
      <c r="K622" t="str">
        <f t="shared" ref="K622:K631" si="2">HYPERLINK("http://www8.mpce.mp.br/Empenhos/150501/NE/2024NE000704.pdf","2024NE000704")</f>
        <v>2024NE000704</v>
      </c>
      <c r="L622" s="13">
        <v>104500</v>
      </c>
      <c r="M622" t="s">
        <v>72</v>
      </c>
      <c r="N622">
        <v>82845322000104</v>
      </c>
    </row>
    <row r="623" spans="1:14" ht="51" x14ac:dyDescent="0.25">
      <c r="A623" s="12" t="s">
        <v>34</v>
      </c>
      <c r="B623" s="2" t="s">
        <v>631</v>
      </c>
      <c r="C623" s="3" t="str">
        <f>HYPERLINK("https://transparencia-area-fim.mpce.mp.br/#/consulta/processo/pastadigital/092020000071437","09.2020.00007143-7")</f>
        <v>09.2020.00007143-7</v>
      </c>
      <c r="D623" s="4">
        <v>45475</v>
      </c>
      <c r="E623" s="16" t="str">
        <f>HYPERLINK("https://www8.mpce.mp.br/Empenhos/150001/Objeto/23-2020.pdf","FORNECIMENTO DE PRODUTOS E DE DIVERSOS SERVIÇOS DOS CORREIOS POR MEIO DOS CANAIS DE ATENDIMENTO DISPONIBILIZADOS, REF. AO MÊS DE JULHO, CONF. CONTRATO Nº 023/2020.")</f>
        <v>FORNECIMENTO DE PRODUTOS E DE DIVERSOS SERVIÇOS DOS CORREIOS POR MEIO DOS CANAIS DE ATENDIMENTO DISPONIBILIZADOS, REF. AO MÊS DE JULHO, CONF. CONTRATO Nº 023/2020.</v>
      </c>
      <c r="F623" s="2" t="s">
        <v>88</v>
      </c>
      <c r="G623" s="5" t="str">
        <f>HYPERLINK("http://www8.mpce.mp.br/Empenhos/150001/NE/2024NE001488.pdf","2024NE001488")</f>
        <v>2024NE001488</v>
      </c>
      <c r="H623" s="6">
        <v>20000</v>
      </c>
      <c r="I623" s="7" t="s">
        <v>89</v>
      </c>
      <c r="J623" s="10" t="s">
        <v>90</v>
      </c>
      <c r="K623" t="str">
        <f t="shared" si="2"/>
        <v>2024NE000704</v>
      </c>
      <c r="L623" s="13">
        <v>104500</v>
      </c>
      <c r="M623" t="s">
        <v>72</v>
      </c>
      <c r="N623">
        <v>82845322000104</v>
      </c>
    </row>
    <row r="624" spans="1:14" ht="51" x14ac:dyDescent="0.25">
      <c r="A624" s="12" t="s">
        <v>34</v>
      </c>
      <c r="B624" s="2" t="s">
        <v>768</v>
      </c>
      <c r="C624" s="3" t="str">
        <f>HYPERLINK("http://www8.mpce.mp.br/Dispensa/6795020160.pdf","6795020160")</f>
        <v>6795020160</v>
      </c>
      <c r="D624" s="4">
        <v>45614</v>
      </c>
      <c r="E624" s="16" t="str">
        <f>HYPERLINK("https://www8.mpce.mp.br/Empenhos/150001/Objeto/08-2017.pdf","EMPENHO REF. ALUGUEL DE IMÓVEL ONDE FUNCIONA SEDE DE PROMOTORIAS DE JUSTIÇA DA COMARCA DE JARDIM, CONF. CONTRATO 008/2017, REF. DEZ/2024, POR ESTIMATIVA.")</f>
        <v>EMPENHO REF. ALUGUEL DE IMÓVEL ONDE FUNCIONA SEDE DE PROMOTORIAS DE JUSTIÇA DA COMARCA DE JARDIM, CONF. CONTRATO 008/2017, REF. DEZ/2024, POR ESTIMATIVA.</v>
      </c>
      <c r="F624" s="2" t="s">
        <v>161</v>
      </c>
      <c r="G624" s="5" t="str">
        <f>HYPERLINK("http://www8.mpce.mp.br/Empenhos/150501/NE/2024NE001504.pdf","2024NE001504")</f>
        <v>2024NE001504</v>
      </c>
      <c r="H624" s="6">
        <v>680.03</v>
      </c>
      <c r="I624" s="7" t="s">
        <v>219</v>
      </c>
      <c r="J624" s="10" t="s">
        <v>220</v>
      </c>
      <c r="K624" t="str">
        <f t="shared" si="2"/>
        <v>2024NE000704</v>
      </c>
      <c r="L624" s="13">
        <v>104500</v>
      </c>
      <c r="M624" t="s">
        <v>72</v>
      </c>
      <c r="N624">
        <v>82845322000104</v>
      </c>
    </row>
    <row r="625" spans="1:14" ht="76.5" x14ac:dyDescent="0.25">
      <c r="A625" s="12" t="s">
        <v>9</v>
      </c>
      <c r="B625" s="2" t="s">
        <v>632</v>
      </c>
      <c r="C625" s="3" t="str">
        <f>HYPERLINK("https://transparencia-area-fim.mpce.mp.br/#/consulta/processo/pastadigital/092024000166525","09.2024.00016652-5")</f>
        <v>09.2024.00016652-5</v>
      </c>
      <c r="D625" s="4">
        <v>45462</v>
      </c>
      <c r="E625" s="16" t="s">
        <v>633</v>
      </c>
      <c r="F625" s="2" t="s">
        <v>634</v>
      </c>
      <c r="G625" s="5" t="str">
        <f>HYPERLINK("http://www8.mpce.mp.br/Empenhos/150001/NE/2024NE001507.pdf","2024NE001507")</f>
        <v>2024NE001507</v>
      </c>
      <c r="H625" s="6">
        <v>2700</v>
      </c>
      <c r="I625" s="7" t="s">
        <v>635</v>
      </c>
      <c r="J625" s="10" t="s">
        <v>873</v>
      </c>
      <c r="K625" t="str">
        <f t="shared" si="2"/>
        <v>2024NE000704</v>
      </c>
      <c r="L625" s="13">
        <v>104500</v>
      </c>
      <c r="M625" t="s">
        <v>72</v>
      </c>
      <c r="N625">
        <v>82845322000104</v>
      </c>
    </row>
    <row r="626" spans="1:14" ht="51" x14ac:dyDescent="0.25">
      <c r="A626" s="12" t="s">
        <v>9</v>
      </c>
      <c r="B626" s="2" t="s">
        <v>769</v>
      </c>
      <c r="C626" s="3" t="str">
        <f>HYPERLINK("http://www8.mpce.mp.br/Inexigibilidade/1045920194.pdf","10459/2019-4")</f>
        <v>10459/2019-4</v>
      </c>
      <c r="D626" s="4">
        <v>45614</v>
      </c>
      <c r="E626" s="16" t="str">
        <f>HYPERLINK("https://www8.mpce.mp.br/Empenhos/150001/Objeto/47-2019.pdf","EMPENHO REF. SERVIÇOS DE PERÍCIA, CONF. CONTRATO 047/2019, REF. NOV E DEZ/2024, POR ESTIMATIVA.")</f>
        <v>EMPENHO REF. SERVIÇOS DE PERÍCIA, CONF. CONTRATO 047/2019, REF. NOV E DEZ/2024, POR ESTIMATIVA.</v>
      </c>
      <c r="F626" s="2" t="s">
        <v>923</v>
      </c>
      <c r="G626" s="5" t="str">
        <f>HYPERLINK("http://www8.mpce.mp.br/Empenhos/150501/NE/2024NE001514.pdf","2024NE001514")</f>
        <v>2024NE001514</v>
      </c>
      <c r="H626" s="6">
        <v>8510</v>
      </c>
      <c r="I626" s="7" t="s">
        <v>254</v>
      </c>
      <c r="J626" s="10" t="s">
        <v>829</v>
      </c>
      <c r="K626" t="str">
        <f t="shared" si="2"/>
        <v>2024NE000704</v>
      </c>
      <c r="L626" s="13">
        <v>104500</v>
      </c>
      <c r="M626" t="s">
        <v>72</v>
      </c>
      <c r="N626">
        <v>82845322000104</v>
      </c>
    </row>
    <row r="627" spans="1:14" ht="76.5" x14ac:dyDescent="0.25">
      <c r="A627" s="12" t="s">
        <v>34</v>
      </c>
      <c r="B627" s="2" t="s">
        <v>924</v>
      </c>
      <c r="C627" s="3" t="str">
        <f>HYPERLINK("http://www8.mpce.mp.br/Dispensa/842220170.pdf","8422/20170")</f>
        <v>8422/20170</v>
      </c>
      <c r="D627" s="4">
        <v>45614</v>
      </c>
      <c r="E627" s="16" t="str">
        <f>HYPERLINK("https://www8.mpce.mp.br/Empenhos/150001/Objeto/16-2017.pdf","EMPENHO DA 11ª PARCELA DO IPTU DE 2024, REF. AO IMÓVEL ONDE FUNCIONAM AS PROMOTORIAS DE JUSTIÇA CRIMINAIS, LOCALIZADO NA AVENIDA CORONEL JOSÉ PHILOMENO, N° 222, BAIRRO ENGENHEIRO LUCIANO CAVALCANTE, FORTALEZA-CE, CONF. CONTRATO Nº 016/2017.")</f>
        <v>EMPENHO DA 11ª PARCELA DO IPTU DE 2024, REF. AO IMÓVEL ONDE FUNCIONAM AS PROMOTORIAS DE JUSTIÇA CRIMINAIS, LOCALIZADO NA AVENIDA CORONEL JOSÉ PHILOMENO, N° 222, BAIRRO ENGENHEIRO LUCIANO CAVALCANTE, FORTALEZA-CE, CONF. CONTRATO Nº 016/2017.</v>
      </c>
      <c r="F627" s="2" t="s">
        <v>252</v>
      </c>
      <c r="G627" s="5" t="str">
        <f>HYPERLINK("http://www8.mpce.mp.br/Empenhos/150501/NE/2024NE001515.pdf","2024NE001515")</f>
        <v>2024NE001515</v>
      </c>
      <c r="H627" s="6">
        <v>2619.0100000000002</v>
      </c>
      <c r="I627" s="7" t="s">
        <v>158</v>
      </c>
      <c r="J627" s="10" t="s">
        <v>159</v>
      </c>
      <c r="K627" t="str">
        <f t="shared" si="2"/>
        <v>2024NE000704</v>
      </c>
      <c r="L627" s="13">
        <v>104500</v>
      </c>
      <c r="M627" t="s">
        <v>72</v>
      </c>
      <c r="N627">
        <v>82845322000104</v>
      </c>
    </row>
    <row r="628" spans="1:14" ht="63.75" x14ac:dyDescent="0.25">
      <c r="A628" s="12" t="s">
        <v>34</v>
      </c>
      <c r="B628" s="2" t="s">
        <v>925</v>
      </c>
      <c r="C628" s="3" t="str">
        <f>HYPERLINK("https://transparencia-area-fim.mpce.mp.br/#/consulta/processo/pastadigital/092021000166790","09.2021.00016679-0")</f>
        <v>09.2021.00016679-0</v>
      </c>
      <c r="D628" s="4">
        <v>45614</v>
      </c>
      <c r="E628" s="16" t="str">
        <f>HYPERLINK("https://www8.mpce.mp.br/Empenhos/150001/Objeto/24-2022.pdf","EMPENHO DA PARCELA ÚNICA DO IPTU DE 2024, REF. AO IMÓVEL ONDE FUNCIONAM AS PROMOTORIAS DE JUSTIÇA DE HORIZONTE- CE, LOCALIZADAS NA RUA FRANCISCO PEREIRA DE AZEVEDO, Nº 144 - CENTRO, CONF. CONTRATO Nº 024/2022.")</f>
        <v>EMPENHO DA PARCELA ÚNICA DO IPTU DE 2024, REF. AO IMÓVEL ONDE FUNCIONAM AS PROMOTORIAS DE JUSTIÇA DE HORIZONTE- CE, LOCALIZADAS NA RUA FRANCISCO PEREIRA DE AZEVEDO, Nº 144 - CENTRO, CONF. CONTRATO Nº 024/2022.</v>
      </c>
      <c r="F628" s="2" t="s">
        <v>223</v>
      </c>
      <c r="G628" s="5" t="str">
        <f>HYPERLINK("http://www8.mpce.mp.br/Empenhos/150501/NE/2024NE001516.pdf","2024NE001516")</f>
        <v>2024NE001516</v>
      </c>
      <c r="H628" s="6">
        <v>548.11</v>
      </c>
      <c r="I628" s="7" t="s">
        <v>209</v>
      </c>
      <c r="J628" s="10" t="s">
        <v>210</v>
      </c>
      <c r="K628" t="str">
        <f t="shared" si="2"/>
        <v>2024NE000704</v>
      </c>
      <c r="L628" s="13">
        <v>104500</v>
      </c>
      <c r="M628" t="s">
        <v>72</v>
      </c>
      <c r="N628">
        <v>82845322000104</v>
      </c>
    </row>
    <row r="629" spans="1:14" ht="51" x14ac:dyDescent="0.25">
      <c r="A629" s="12" t="s">
        <v>9</v>
      </c>
      <c r="B629" s="2" t="s">
        <v>769</v>
      </c>
      <c r="C629" s="3" t="str">
        <f>HYPERLINK("http://www8.mpce.mp.br/Inexigibilidade/1045920194.pdf","10459/2019-4")</f>
        <v>10459/2019-4</v>
      </c>
      <c r="D629" s="4">
        <v>45615</v>
      </c>
      <c r="E629" s="16" t="str">
        <f>HYPERLINK("https://www8.mpce.mp.br/Empenhos/150001/Objeto/47-2019.pdf","EMPENHO REF. SERVIÇOS DE PERÍCIA NA QUALIDADE DA ÁGUA NO LOTEAMENTO VALE DO KARIRI, CONF. CONTRATO 047/2019, REF. NOV E DEZ/2024, POR ESTIMATIVA.")</f>
        <v>EMPENHO REF. SERVIÇOS DE PERÍCIA NA QUALIDADE DA ÁGUA NO LOTEAMENTO VALE DO KARIRI, CONF. CONTRATO 047/2019, REF. NOV E DEZ/2024, POR ESTIMATIVA.</v>
      </c>
      <c r="F629" s="2" t="s">
        <v>923</v>
      </c>
      <c r="G629" s="5" t="str">
        <f>HYPERLINK("http://www8.mpce.mp.br/Empenhos/150501/NE/2024NE001526.pdf","2024NE001526")</f>
        <v>2024NE001526</v>
      </c>
      <c r="H629" s="6">
        <v>13041</v>
      </c>
      <c r="I629" s="7" t="s">
        <v>254</v>
      </c>
      <c r="J629" s="10" t="s">
        <v>829</v>
      </c>
      <c r="K629" t="str">
        <f t="shared" si="2"/>
        <v>2024NE000704</v>
      </c>
      <c r="L629" s="13">
        <v>104500</v>
      </c>
      <c r="M629" t="s">
        <v>72</v>
      </c>
      <c r="N629">
        <v>82845322000104</v>
      </c>
    </row>
    <row r="630" spans="1:14" ht="51" x14ac:dyDescent="0.25">
      <c r="A630" s="12" t="s">
        <v>9</v>
      </c>
      <c r="B630" s="2" t="s">
        <v>769</v>
      </c>
      <c r="C630" s="3" t="str">
        <f>HYPERLINK("http://www8.mpce.mp.br/Inexigibilidade/1045920194.pdf","10459/2019-4")</f>
        <v>10459/2019-4</v>
      </c>
      <c r="D630" s="4">
        <v>45615</v>
      </c>
      <c r="E630" s="16" t="str">
        <f>HYPERLINK("https://www8.mpce.mp.br/Empenhos/150001/Objeto/47-2019.pdf","EMPENHO REF. SERVIÇOS DE PERÍCIA NA ÁGUA FORNECIDA A ESCOLAS EM NOVA OLINDA-CE, CONF. CONTRATO 047/2019, REF. NOV E DEZ/2024, POR ESTIMATIVA.")</f>
        <v>EMPENHO REF. SERVIÇOS DE PERÍCIA NA ÁGUA FORNECIDA A ESCOLAS EM NOVA OLINDA-CE, CONF. CONTRATO 047/2019, REF. NOV E DEZ/2024, POR ESTIMATIVA.</v>
      </c>
      <c r="F630" s="2" t="s">
        <v>923</v>
      </c>
      <c r="G630" s="5" t="str">
        <f>HYPERLINK("http://www8.mpce.mp.br/Empenhos/150501/NE/2024NE001529.pdf","2024NE001529")</f>
        <v>2024NE001529</v>
      </c>
      <c r="H630" s="6">
        <v>8510</v>
      </c>
      <c r="I630" s="7" t="s">
        <v>254</v>
      </c>
      <c r="J630" s="10" t="s">
        <v>829</v>
      </c>
      <c r="K630" t="str">
        <f t="shared" si="2"/>
        <v>2024NE000704</v>
      </c>
      <c r="L630" s="13">
        <v>104500</v>
      </c>
      <c r="M630" t="s">
        <v>72</v>
      </c>
      <c r="N630">
        <v>82845322000104</v>
      </c>
    </row>
    <row r="631" spans="1:14" ht="25.5" x14ac:dyDescent="0.25">
      <c r="A631" s="12" t="s">
        <v>9</v>
      </c>
      <c r="B631" s="2" t="s">
        <v>625</v>
      </c>
      <c r="C631" s="3" t="str">
        <f>HYPERLINK("https://transparencia-area-fim.mpce.mp.br/#/consulta/processo/pastadigital/092023000255300","09.2023.00025530-0")</f>
        <v>09.2023.00025530-0</v>
      </c>
      <c r="D631" s="4">
        <v>45615</v>
      </c>
      <c r="E631" s="16" t="str">
        <f>HYPERLINK("https://www8.mpce.mp.br/Empenhos/150001/Objeto/42-2024.pdf","EMPENHO REF. LICENÇA DE MÓDULO DE GRAVAÇÃO DE AUDIÊNCIAS, CONF. CONTRATO 042/2024, REF. 2024.")</f>
        <v>EMPENHO REF. LICENÇA DE MÓDULO DE GRAVAÇÃO DE AUDIÊNCIAS, CONF. CONTRATO 042/2024, REF. 2024.</v>
      </c>
      <c r="F631" s="2" t="s">
        <v>926</v>
      </c>
      <c r="G631" s="5" t="str">
        <f>HYPERLINK("http://www8.mpce.mp.br/Empenhos/150501/NE/2024NE001542.pdf","2024NE001542")</f>
        <v>2024NE001542</v>
      </c>
      <c r="H631" s="6">
        <v>195000</v>
      </c>
      <c r="I631" s="7" t="s">
        <v>72</v>
      </c>
      <c r="J631" s="10" t="s">
        <v>73</v>
      </c>
      <c r="K631" t="str">
        <f t="shared" si="2"/>
        <v>2024NE000704</v>
      </c>
      <c r="L631" s="13">
        <v>104500</v>
      </c>
      <c r="M631" t="s">
        <v>72</v>
      </c>
      <c r="N631">
        <v>82845322000104</v>
      </c>
    </row>
    <row r="632" spans="1:14" ht="38.25" x14ac:dyDescent="0.25">
      <c r="A632" s="12" t="s">
        <v>9</v>
      </c>
      <c r="B632" s="2" t="s">
        <v>816</v>
      </c>
      <c r="C632" s="3" t="str">
        <f>HYPERLINK("https://transparencia-area-fim.mpce.mp.br/#/consulta/processo/pastadigital/092021000000456","09.2021.00000045-6")</f>
        <v>09.2021.00000045-6</v>
      </c>
      <c r="D632" s="4">
        <v>45617</v>
      </c>
      <c r="E632" s="16" t="str">
        <f>HYPERLINK("https://www8.mpce.mp.br/Empenhos/150001/Objeto/02-2021.pdf","EMPENHO REF. SUPORTE TÉCNICO DA SOLUÇÃO GUARDIÃO WEB-BY NGC, CONF. CONTRATO 002/2021, REF. NOVEMBRO E DEZEMBRO DE 2024. ")</f>
        <v xml:space="preserve">EMPENHO REF. SUPORTE TÉCNICO DA SOLUÇÃO GUARDIÃO WEB-BY NGC, CONF. CONTRATO 002/2021, REF. NOVEMBRO E DEZEMBRO DE 2024. </v>
      </c>
      <c r="F632" s="2" t="s">
        <v>60</v>
      </c>
      <c r="G632" s="5" t="str">
        <f>HYPERLINK("http://www8.mpce.mp.br/Empenhos/150501/NE/2024NE001547.pdf","2024NE001547")</f>
        <v>2024NE001547</v>
      </c>
      <c r="H632" s="6">
        <v>37767.82</v>
      </c>
      <c r="I632" s="7" t="s">
        <v>22</v>
      </c>
      <c r="J632" s="10" t="s">
        <v>23</v>
      </c>
      <c r="K632" t="str">
        <f t="shared" ref="K632:K641" si="3">HYPERLINK("http://www8.mpce.mp.br/Empenhos/150501/NE/2024NE000705.pdf","2024NE000705")</f>
        <v>2024NE000705</v>
      </c>
      <c r="L632" s="13">
        <v>18529.2</v>
      </c>
      <c r="M632" t="s">
        <v>72</v>
      </c>
      <c r="N632">
        <v>82845322000104</v>
      </c>
    </row>
    <row r="633" spans="1:14" ht="38.25" x14ac:dyDescent="0.25">
      <c r="A633" s="12" t="s">
        <v>9</v>
      </c>
      <c r="B633" s="2" t="s">
        <v>775</v>
      </c>
      <c r="C633" s="3" t="str">
        <f>HYPERLINK("https://transparencia-area-fim.mpce.mp.br/#/consulta/processo/pastadigital/092022000083885","09.2022.00008388-5")</f>
        <v>09.2022.00008388-5</v>
      </c>
      <c r="D633" s="4">
        <v>45617</v>
      </c>
      <c r="E633" s="16" t="str">
        <f>HYPERLINK("https://www8.mpce.mp.br/Empenhos/150001/Objeto/36-2023.pdf","EMPENHO REF. IPTU DE IMÓVEL ONDE FUNCIONA SEDE DE PROMOTORIAS DE JUSTIÇA DA COMARCA DE SOLONÓPOLE, CONF. CONTRATO 036/2023, REF. 2024 - PARCELA ÚNICA.")</f>
        <v>EMPENHO REF. IPTU DE IMÓVEL ONDE FUNCIONA SEDE DE PROMOTORIAS DE JUSTIÇA DA COMARCA DE SOLONÓPOLE, CONF. CONTRATO 036/2023, REF. 2024 - PARCELA ÚNICA.</v>
      </c>
      <c r="F633" s="2" t="s">
        <v>223</v>
      </c>
      <c r="G633" s="5" t="str">
        <f>HYPERLINK("http://www8.mpce.mp.br/Empenhos/150501/NE/2024NE001557.pdf","2024NE001557")</f>
        <v>2024NE001557</v>
      </c>
      <c r="H633" s="6">
        <v>292.52</v>
      </c>
      <c r="I633" s="7" t="s">
        <v>188</v>
      </c>
      <c r="J633" s="10" t="s">
        <v>189</v>
      </c>
      <c r="K633" t="str">
        <f t="shared" si="3"/>
        <v>2024NE000705</v>
      </c>
      <c r="L633" s="13">
        <v>18529.2</v>
      </c>
      <c r="M633" t="s">
        <v>72</v>
      </c>
      <c r="N633">
        <v>82845322000104</v>
      </c>
    </row>
    <row r="634" spans="1:14" ht="67.5" x14ac:dyDescent="0.25">
      <c r="A634" s="12" t="s">
        <v>9</v>
      </c>
      <c r="B634" s="2" t="s">
        <v>636</v>
      </c>
      <c r="C634" s="3" t="str">
        <f>HYPERLINK("https://transparencia-area-fim.mpce.mp.br/#/consulta/processo/pastadigital/092024000209942","09.2024.00020994-2")</f>
        <v>09.2024.00020994-2</v>
      </c>
      <c r="D634" s="4">
        <v>45468</v>
      </c>
      <c r="E634" s="16" t="s">
        <v>637</v>
      </c>
      <c r="F634" s="2" t="s">
        <v>446</v>
      </c>
      <c r="G634" s="5" t="str">
        <f>HYPERLINK("http://www8.mpce.mp.br/Empenhos/150001/NE/2024NE001558.pdf","2024NE001558")</f>
        <v>2024NE001558</v>
      </c>
      <c r="H634" s="6">
        <v>1400</v>
      </c>
      <c r="I634" s="7" t="s">
        <v>638</v>
      </c>
      <c r="J634" s="10" t="s">
        <v>874</v>
      </c>
      <c r="K634" t="str">
        <f t="shared" si="3"/>
        <v>2024NE000705</v>
      </c>
      <c r="L634" s="13">
        <v>18529.2</v>
      </c>
      <c r="M634" t="s">
        <v>72</v>
      </c>
      <c r="N634">
        <v>82845322000104</v>
      </c>
    </row>
    <row r="635" spans="1:14" ht="51" x14ac:dyDescent="0.25">
      <c r="A635" s="12" t="s">
        <v>9</v>
      </c>
      <c r="B635" s="2" t="s">
        <v>927</v>
      </c>
      <c r="C635" s="3" t="str">
        <f>HYPERLINK("https://transparencia-area-fim.mpce.mp.br/#/consulta/processo/pastadigital/092022000371847","09.2022.00037184-7")</f>
        <v>09.2022.00037184-7</v>
      </c>
      <c r="D635" s="4">
        <v>45617</v>
      </c>
      <c r="E635" s="16" t="str">
        <f>HYPERLINK("https://www8.mpce.mp.br/Empenhos/150001/Objeto/44-2023.pdf","EMPENHO DA PARCELA ÚNICA DO IPTU DE 2024, REF. AO IMÓVEL ONDE FUNCIONAM AS PROMOTORIAS DE JUSTIÇA DE MARCO - CE, LOCALIZADO NA RUA OSTERNO, 327, CENTRO, MARCO - CE, CONF. CONTRATO Nº 044/2023")</f>
        <v>EMPENHO DA PARCELA ÚNICA DO IPTU DE 2024, REF. AO IMÓVEL ONDE FUNCIONAM AS PROMOTORIAS DE JUSTIÇA DE MARCO - CE, LOCALIZADO NA RUA OSTERNO, 327, CENTRO, MARCO - CE, CONF. CONTRATO Nº 044/2023</v>
      </c>
      <c r="F635" s="2" t="s">
        <v>223</v>
      </c>
      <c r="G635" s="5" t="str">
        <f>HYPERLINK("http://www8.mpce.mp.br/Empenhos/150501/NE/2024NE001559.pdf","2024NE001559")</f>
        <v>2024NE001559</v>
      </c>
      <c r="H635" s="6">
        <v>50</v>
      </c>
      <c r="I635" s="7" t="s">
        <v>182</v>
      </c>
      <c r="J635" s="10" t="s">
        <v>183</v>
      </c>
      <c r="K635" t="str">
        <f t="shared" si="3"/>
        <v>2024NE000705</v>
      </c>
      <c r="L635" s="13">
        <v>18529.2</v>
      </c>
      <c r="M635" t="s">
        <v>72</v>
      </c>
      <c r="N635">
        <v>82845322000104</v>
      </c>
    </row>
    <row r="636" spans="1:14" ht="51" x14ac:dyDescent="0.25">
      <c r="A636" s="12" t="s">
        <v>34</v>
      </c>
      <c r="B636" s="2" t="s">
        <v>928</v>
      </c>
      <c r="C636" s="3" t="str">
        <f>HYPERLINK("https://transparencia-area-fim.mpce.mp.br/#/consulta/processo/pastadigital/092022000264193","09.2022.00026419-3")</f>
        <v>09.2022.00026419-3</v>
      </c>
      <c r="D636" s="4">
        <v>45617</v>
      </c>
      <c r="E636" s="16" t="str">
        <f>HYPERLINK("https://www8.mpce.mp.br/Empenhos/150001/Objeto/28-2022.pdf","EMPENHO DA PARCELA ÚNICA DO IPTU DE 2024, REF. AO IMÓVEL ONDE FUNCIONAM AS PROMOTORIAS DE JUSTIÇA DE AURORA - CE, LOCALIZADO NA TRAVESSA ANTÔNIO PINTO, 200, CENTRO, CONF. CONTRATO Nº 028/2022.")</f>
        <v>EMPENHO DA PARCELA ÚNICA DO IPTU DE 2024, REF. AO IMÓVEL ONDE FUNCIONAM AS PROMOTORIAS DE JUSTIÇA DE AURORA - CE, LOCALIZADO NA TRAVESSA ANTÔNIO PINTO, 200, CENTRO, CONF. CONTRATO Nº 028/2022.</v>
      </c>
      <c r="F636" s="2" t="s">
        <v>223</v>
      </c>
      <c r="G636" s="5" t="str">
        <f>HYPERLINK("http://www8.mpce.mp.br/Empenhos/150501/NE/2024NE001561.pdf","2024NE001561")</f>
        <v>2024NE001561</v>
      </c>
      <c r="H636" s="6">
        <v>50</v>
      </c>
      <c r="I636" s="7" t="s">
        <v>201</v>
      </c>
      <c r="J636" s="10" t="s">
        <v>202</v>
      </c>
      <c r="K636" t="str">
        <f t="shared" si="3"/>
        <v>2024NE000705</v>
      </c>
      <c r="L636" s="13">
        <v>18529.2</v>
      </c>
      <c r="M636" t="s">
        <v>72</v>
      </c>
      <c r="N636">
        <v>82845322000104</v>
      </c>
    </row>
    <row r="637" spans="1:14" ht="51" x14ac:dyDescent="0.25">
      <c r="A637" s="12" t="s">
        <v>9</v>
      </c>
      <c r="B637" s="2" t="s">
        <v>929</v>
      </c>
      <c r="C637" s="3" t="str">
        <f>HYPERLINK("https://transparencia-area-fim.mpce.mp.br/#/consulta/processo/pastadigital/092022000426227","09.2022.00042622-7")</f>
        <v>09.2022.00042622-7</v>
      </c>
      <c r="D637" s="4">
        <v>45617</v>
      </c>
      <c r="E637" s="16" t="str">
        <f>HYPERLINK("https://www8.mpce.mp.br/Empenhos/150001/Objeto/33-2023.pdf","EMPENHO DA PARCELA ÚNICA DO IPTU DE 2024, REF. AO IMÓVEL ONDE FUNCIONAM AS PROMOTORIAS DE JUSTIÇA DE JUCÁS - CE, LOCALIZADO NA SÃO JORGE, 359, BAIRRO ALTO DA PAZ, JUCÁS, CONF. CONTRATO Nº 033/2023.")</f>
        <v>EMPENHO DA PARCELA ÚNICA DO IPTU DE 2024, REF. AO IMÓVEL ONDE FUNCIONAM AS PROMOTORIAS DE JUSTIÇA DE JUCÁS - CE, LOCALIZADO NA SÃO JORGE, 359, BAIRRO ALTO DA PAZ, JUCÁS, CONF. CONTRATO Nº 033/2023.</v>
      </c>
      <c r="F637" s="2" t="s">
        <v>223</v>
      </c>
      <c r="G637" s="5" t="str">
        <f>HYPERLINK("http://www8.mpce.mp.br/Empenhos/150501/NE/2024NE001564.pdf","2024NE001564")</f>
        <v>2024NE001564</v>
      </c>
      <c r="H637" s="6">
        <v>400</v>
      </c>
      <c r="I637" s="7" t="s">
        <v>195</v>
      </c>
      <c r="J637" s="10" t="s">
        <v>196</v>
      </c>
      <c r="K637" t="str">
        <f t="shared" si="3"/>
        <v>2024NE000705</v>
      </c>
      <c r="L637" s="13">
        <v>18529.2</v>
      </c>
      <c r="M637" t="s">
        <v>72</v>
      </c>
      <c r="N637">
        <v>82845322000104</v>
      </c>
    </row>
    <row r="638" spans="1:14" ht="45" x14ac:dyDescent="0.25">
      <c r="A638" s="12" t="s">
        <v>34</v>
      </c>
      <c r="B638" s="2" t="s">
        <v>639</v>
      </c>
      <c r="C638" s="3" t="str">
        <f>HYPERLINK("https://transparencia-area-fim.mpce.mp.br/#/consulta/processo/pastadigital/092024000042147","09.2024.00004214-7")</f>
        <v>09.2024.00004214-7</v>
      </c>
      <c r="D638" s="4">
        <v>45474</v>
      </c>
      <c r="E638" s="16" t="s">
        <v>640</v>
      </c>
      <c r="F638" s="2" t="s">
        <v>641</v>
      </c>
      <c r="G638" s="5" t="str">
        <f>HYPERLINK("http://www8.mpce.mp.br/Empenhos/150001/NE/2024NE001565.pdf","2024NE001565")</f>
        <v>2024NE001565</v>
      </c>
      <c r="H638" s="6">
        <v>9024</v>
      </c>
      <c r="I638" s="7" t="s">
        <v>642</v>
      </c>
      <c r="J638" s="10" t="s">
        <v>875</v>
      </c>
      <c r="K638" t="str">
        <f t="shared" si="3"/>
        <v>2024NE000705</v>
      </c>
      <c r="L638" s="13">
        <v>18529.2</v>
      </c>
      <c r="M638" t="s">
        <v>72</v>
      </c>
      <c r="N638">
        <v>82845322000104</v>
      </c>
    </row>
    <row r="639" spans="1:14" ht="63.75" x14ac:dyDescent="0.25">
      <c r="A639" s="12" t="s">
        <v>34</v>
      </c>
      <c r="B639" s="2" t="s">
        <v>930</v>
      </c>
      <c r="C639" s="3" t="str">
        <f>HYPERLINK("https://transparencia-area-fim.mpce.mp.br/#/consulta/processo/pastadigital/092022000276145","09.2022.00027614-5")</f>
        <v>09.2022.00027614-5</v>
      </c>
      <c r="D639" s="4">
        <v>45617</v>
      </c>
      <c r="E639" s="16" t="str">
        <f>HYPERLINK("https://www8.mpce.mp.br/Empenhos/150001/Objeto/36-2022.pdf","EMPENHO DA PARCELA ÚNICA DO IPTU DE 2024, REF. AO IMÓVEL ONDE FUNCIONAM AS PROMOTORIAS DE JUSTIÇA DE ARARIPE - CE, LOCALIZADO NA RUA ALEXANDRE ARRAES DE ALENCAR, 743, CENTRO, ARARIPE, CONF. CONTRATO Nº 036/2022.")</f>
        <v>EMPENHO DA PARCELA ÚNICA DO IPTU DE 2024, REF. AO IMÓVEL ONDE FUNCIONAM AS PROMOTORIAS DE JUSTIÇA DE ARARIPE - CE, LOCALIZADO NA RUA ALEXANDRE ARRAES DE ALENCAR, 743, CENTRO, ARARIPE, CONF. CONTRATO Nº 036/2022.</v>
      </c>
      <c r="F639" s="2" t="s">
        <v>223</v>
      </c>
      <c r="G639" s="5" t="str">
        <f>HYPERLINK("http://www8.mpce.mp.br/Empenhos/150501/NE/2024NE001566.pdf","2024NE001566")</f>
        <v>2024NE001566</v>
      </c>
      <c r="H639" s="6">
        <v>400</v>
      </c>
      <c r="I639" s="7" t="s">
        <v>191</v>
      </c>
      <c r="J639" s="10" t="s">
        <v>192</v>
      </c>
      <c r="K639" t="str">
        <f t="shared" si="3"/>
        <v>2024NE000705</v>
      </c>
      <c r="L639" s="13">
        <v>18529.2</v>
      </c>
      <c r="M639" t="s">
        <v>72</v>
      </c>
      <c r="N639">
        <v>82845322000104</v>
      </c>
    </row>
    <row r="640" spans="1:14" ht="51" x14ac:dyDescent="0.25">
      <c r="A640" s="12" t="s">
        <v>9</v>
      </c>
      <c r="B640" s="2" t="s">
        <v>769</v>
      </c>
      <c r="C640" s="3" t="str">
        <f>HYPERLINK("http://www8.mpce.mp.br/Inexigibilidade/1045920194.pdf","10459/2019-4")</f>
        <v>10459/2019-4</v>
      </c>
      <c r="D640" s="4">
        <v>45618</v>
      </c>
      <c r="E640" s="16" t="str">
        <f>HYPERLINK("https://www8.mpce.mp.br/Empenhos/150001/Objeto/47-2019.pdf","EMPENHO REF. PERÍCIA E FISCALIZAÇÃO DE 14 ÔNIBUS QUE ESTIVEREM NO TERMINAL RODOVIÁRIO ENGENHEIRO JOÃO THOMÉ, CONF. CONTRATO 047/2019, REF. NOV E DEZ/2024, POR ESTIMATIVA.")</f>
        <v>EMPENHO REF. PERÍCIA E FISCALIZAÇÃO DE 14 ÔNIBUS QUE ESTIVEREM NO TERMINAL RODOVIÁRIO ENGENHEIRO JOÃO THOMÉ, CONF. CONTRATO 047/2019, REF. NOV E DEZ/2024, POR ESTIMATIVA.</v>
      </c>
      <c r="F640" s="2" t="s">
        <v>923</v>
      </c>
      <c r="G640" s="5" t="str">
        <f>HYPERLINK("http://www8.mpce.mp.br/Empenhos/150501/NE/2024NE001574.pdf","2024NE001574")</f>
        <v>2024NE001574</v>
      </c>
      <c r="H640" s="6">
        <v>26082</v>
      </c>
      <c r="I640" s="7" t="s">
        <v>254</v>
      </c>
      <c r="J640" s="10" t="s">
        <v>829</v>
      </c>
      <c r="K640" t="str">
        <f t="shared" si="3"/>
        <v>2024NE000705</v>
      </c>
      <c r="L640" s="13">
        <v>18529.2</v>
      </c>
      <c r="M640" t="s">
        <v>72</v>
      </c>
      <c r="N640">
        <v>82845322000104</v>
      </c>
    </row>
    <row r="641" spans="1:14" ht="63.75" x14ac:dyDescent="0.25">
      <c r="A641" s="12" t="s">
        <v>34</v>
      </c>
      <c r="B641" s="2" t="s">
        <v>931</v>
      </c>
      <c r="C641" s="3" t="str">
        <f>HYPERLINK("https://transparencia-area-fim.mpce.mp.br/#/consulta/processo/pastadigital/092021000244449","09.2021.00024444-9")</f>
        <v>09.2021.00024444-9</v>
      </c>
      <c r="D641" s="4">
        <v>45618</v>
      </c>
      <c r="E641" s="16" t="str">
        <f>HYPERLINK("https://www8.mpce.mp.br/Empenhos/150001/Objeto/12-2022.pdf","EMPENHO DA PARCELA ÚNICA DO IPTU DO ANO DE 2024, REF. AO IMÓVEL ONDE FUNCIONAM AS PROMOTORIAS DE JUSTIÇA DE RUSSAS -CE, LOCALIZADO NA AV.VEREADOR GERALDO DE OLIVEIRA LIMA, 1220, PLANALTO, BELA VISTA, CONF. CONTRATO Nº 012/2022.")</f>
        <v>EMPENHO DA PARCELA ÚNICA DO IPTU DO ANO DE 2024, REF. AO IMÓVEL ONDE FUNCIONAM AS PROMOTORIAS DE JUSTIÇA DE RUSSAS -CE, LOCALIZADO NA AV.VEREADOR GERALDO DE OLIVEIRA LIMA, 1220, PLANALTO, BELA VISTA, CONF. CONTRATO Nº 012/2022.</v>
      </c>
      <c r="F641" s="2" t="s">
        <v>252</v>
      </c>
      <c r="G641" s="5" t="str">
        <f>HYPERLINK("http://www8.mpce.mp.br/Empenhos/150501/NE/2024NE001584.pdf","2024NE001584")</f>
        <v>2024NE001584</v>
      </c>
      <c r="H641" s="6">
        <v>276.02999999999997</v>
      </c>
      <c r="I641" s="7" t="s">
        <v>129</v>
      </c>
      <c r="J641" s="10" t="s">
        <v>130</v>
      </c>
      <c r="K641" t="str">
        <f t="shared" si="3"/>
        <v>2024NE000705</v>
      </c>
      <c r="L641" s="13">
        <v>18529.2</v>
      </c>
      <c r="M641" t="s">
        <v>72</v>
      </c>
      <c r="N641">
        <v>82845322000104</v>
      </c>
    </row>
    <row r="642" spans="1:14" ht="63.75" x14ac:dyDescent="0.25">
      <c r="A642" s="12" t="s">
        <v>34</v>
      </c>
      <c r="B642" s="2" t="s">
        <v>932</v>
      </c>
      <c r="C642" s="3" t="str">
        <f>HYPERLINK("https://transparencia-area-fim.mpce.mp.br/#/consulta/processo/pastadigital/092022000343751","09.2022.00034375-1")</f>
        <v>09.2022.00034375-1</v>
      </c>
      <c r="D642" s="4">
        <v>45618</v>
      </c>
      <c r="E642" s="16" t="str">
        <f>HYPERLINK("https://www8.mpce.mp.br/Empenhos/150001/Objeto/08-2023.pdf","EMPENHO DA PARCELA ÚNICA DO IPTU DO ANO DE 2024, REF. AO IMÓVEL ONDE FICAM LOCALIZADAS AS PROMOTORIAS DE JUSTIÇA DE QUIXERAMOBIM, LOCALIZADA NA RUA CONTADOR HUMBERTO SENA RIBEIRO, 600, CONF. CONTRATO Nº 008/2023.")</f>
        <v>EMPENHO DA PARCELA ÚNICA DO IPTU DO ANO DE 2024, REF. AO IMÓVEL ONDE FICAM LOCALIZADAS AS PROMOTORIAS DE JUSTIÇA DE QUIXERAMOBIM, LOCALIZADA NA RUA CONTADOR HUMBERTO SENA RIBEIRO, 600, CONF. CONTRATO Nº 008/2023.</v>
      </c>
      <c r="F642" s="2" t="s">
        <v>252</v>
      </c>
      <c r="G642" s="5" t="str">
        <f>HYPERLINK("http://www8.mpce.mp.br/Empenhos/150501/NE/2024NE001586.pdf","2024NE001586")</f>
        <v>2024NE001586</v>
      </c>
      <c r="H642" s="6">
        <v>1009.55</v>
      </c>
      <c r="I642" s="7" t="s">
        <v>129</v>
      </c>
      <c r="J642" s="10" t="s">
        <v>130</v>
      </c>
      <c r="K642" t="str">
        <f t="shared" ref="K642:K651" si="4">HYPERLINK("http://www8.mpce.mp.br/Empenhos/150501/NE/2024NE000706.pdf","2024NE000706")</f>
        <v>2024NE000706</v>
      </c>
      <c r="L642" s="13">
        <v>195000</v>
      </c>
      <c r="M642" t="s">
        <v>72</v>
      </c>
      <c r="N642">
        <v>82845322000104</v>
      </c>
    </row>
    <row r="643" spans="1:14" ht="63.75" x14ac:dyDescent="0.25">
      <c r="A643" s="12" t="s">
        <v>34</v>
      </c>
      <c r="B643" s="2" t="s">
        <v>933</v>
      </c>
      <c r="C643" s="3" t="str">
        <f>HYPERLINK("https://transparencia-area-fim.mpce.mp.br/#/consulta/processo/pastadigital/092022000343829","09.2022.00034382-9")</f>
        <v>09.2022.00034382-9</v>
      </c>
      <c r="D643" s="4">
        <v>45618</v>
      </c>
      <c r="E643" s="16" t="str">
        <f>HYPERLINK("https://www8.mpce.mp.br/Empenhos/150001/Objeto/10-2023.pdf","EMPENHO DA PARCELA ÚNICA DO IPTU DO ANO DE 2024, REF. AO IMÓVEL ONDE FICAM LOCALIZADAS AS PROMOTORIAS DE JUSTIÇA DE ITAPAJÉ -CE, LOCALIZADA NA AV. RAIMUNDO AZAURI BASTOS, 250, FERROS, ITAPAJÉ, CONF. CONTRATO Nº010/2023.")</f>
        <v>EMPENHO DA PARCELA ÚNICA DO IPTU DO ANO DE 2024, REF. AO IMÓVEL ONDE FICAM LOCALIZADAS AS PROMOTORIAS DE JUSTIÇA DE ITAPAJÉ -CE, LOCALIZADA NA AV. RAIMUNDO AZAURI BASTOS, 250, FERROS, ITAPAJÉ, CONF. CONTRATO Nº010/2023.</v>
      </c>
      <c r="F643" s="2" t="s">
        <v>252</v>
      </c>
      <c r="G643" s="5" t="str">
        <f>HYPERLINK("http://www8.mpce.mp.br/Empenhos/150501/NE/2024NE001588.pdf","2024NE001588")</f>
        <v>2024NE001588</v>
      </c>
      <c r="H643" s="6">
        <v>385.95</v>
      </c>
      <c r="I643" s="7" t="s">
        <v>129</v>
      </c>
      <c r="J643" s="10" t="s">
        <v>130</v>
      </c>
      <c r="K643" t="str">
        <f t="shared" si="4"/>
        <v>2024NE000706</v>
      </c>
      <c r="L643" s="13">
        <v>195000</v>
      </c>
      <c r="M643" t="s">
        <v>72</v>
      </c>
      <c r="N643">
        <v>82845322000104</v>
      </c>
    </row>
    <row r="644" spans="1:14" ht="38.25" x14ac:dyDescent="0.25">
      <c r="A644" s="12" t="s">
        <v>9</v>
      </c>
      <c r="B644" s="2" t="s">
        <v>796</v>
      </c>
      <c r="C644" s="3" t="str">
        <f>HYPERLINK("https://transparencia-area-fim.mpce.mp.br/#/consulta/processo/pastadigital/092023000255300","09.2023.00025530-0")</f>
        <v>09.2023.00025530-0</v>
      </c>
      <c r="D644" s="4">
        <v>45618</v>
      </c>
      <c r="E644" s="16" t="str">
        <f>HYPERLINK("https://www8.mpce.mp.br/Empenhos/150001/Objeto/42-2024.pdf","EMPENHO REF. SERVIÇOS SOB DEMANDA SISTEMA SAJ-MP, CONF. CONTRATO 042/2024, REF. OUT, NOV E DEZ/2024, POR ESTIMATIVA.")</f>
        <v>EMPENHO REF. SERVIÇOS SOB DEMANDA SISTEMA SAJ-MP, CONF. CONTRATO 042/2024, REF. OUT, NOV E DEZ/2024, POR ESTIMATIVA.</v>
      </c>
      <c r="F644" s="2" t="s">
        <v>71</v>
      </c>
      <c r="G644" s="5" t="str">
        <f>HYPERLINK("http://www8.mpce.mp.br/Empenhos/150501/NE/2024NE001589.pdf","2024NE001589")</f>
        <v>2024NE001589</v>
      </c>
      <c r="H644" s="6">
        <v>132000</v>
      </c>
      <c r="I644" s="7" t="s">
        <v>72</v>
      </c>
      <c r="J644" s="10" t="s">
        <v>73</v>
      </c>
      <c r="K644" t="str">
        <f t="shared" si="4"/>
        <v>2024NE000706</v>
      </c>
      <c r="L644" s="13">
        <v>195000</v>
      </c>
      <c r="M644" t="s">
        <v>72</v>
      </c>
      <c r="N644">
        <v>82845322000104</v>
      </c>
    </row>
    <row r="645" spans="1:14" ht="63.75" x14ac:dyDescent="0.25">
      <c r="A645" s="12" t="s">
        <v>34</v>
      </c>
      <c r="B645" s="2" t="s">
        <v>934</v>
      </c>
      <c r="C645" s="3" t="str">
        <f>HYPERLINK("https://transparencia-area-fim.mpce.mp.br/#/consulta/processo/pastadigital/092021000064195","09.2021.00006419-5")</f>
        <v>09.2021.00006419-5</v>
      </c>
      <c r="D645" s="4">
        <v>45618</v>
      </c>
      <c r="E645" s="16" t="str">
        <f>HYPERLINK("https://www8.mpce.mp.br/Empenhos/150001/Objeto/41-2021.pdf","EMPENHO DAS OITO (08) PARCELAS DO IPTU DO ANO DE 2024, DO IMÓVEL ONDE FUNCIONAM AS PROMOTORIAS DE JUSTIÇA DE QUIXADÁ, LOCALIZADO NA AV. PEDRO FERREIRA DOS SANTOS, 31, JARDIM DOS MONÓLITOS, CONF. CONTRATO Nº 041/2021.")</f>
        <v>EMPENHO DAS OITO (08) PARCELAS DO IPTU DO ANO DE 2024, DO IMÓVEL ONDE FUNCIONAM AS PROMOTORIAS DE JUSTIÇA DE QUIXADÁ, LOCALIZADO NA AV. PEDRO FERREIRA DOS SANTOS, 31, JARDIM DOS MONÓLITOS, CONF. CONTRATO Nº 041/2021.</v>
      </c>
      <c r="F645" s="2" t="s">
        <v>252</v>
      </c>
      <c r="G645" s="5" t="str">
        <f>HYPERLINK("http://www8.mpce.mp.br/Empenhos/150501/NE/2024NE001590.pdf","2024NE001590")</f>
        <v>2024NE001590</v>
      </c>
      <c r="H645" s="6">
        <v>3049.36</v>
      </c>
      <c r="I645" s="7" t="s">
        <v>129</v>
      </c>
      <c r="J645" s="10" t="s">
        <v>130</v>
      </c>
      <c r="K645" t="str">
        <f t="shared" si="4"/>
        <v>2024NE000706</v>
      </c>
      <c r="L645" s="13">
        <v>195000</v>
      </c>
      <c r="M645" t="s">
        <v>72</v>
      </c>
      <c r="N645">
        <v>82845322000104</v>
      </c>
    </row>
    <row r="646" spans="1:14" ht="51" x14ac:dyDescent="0.25">
      <c r="A646" s="12" t="s">
        <v>9</v>
      </c>
      <c r="B646" s="2" t="s">
        <v>935</v>
      </c>
      <c r="C646" s="3" t="str">
        <f>HYPERLINK("https://transparencia-area-fim.mpce.mp.br/#/consulta/processo/pastadigital/092022000382588","09.2022.00038258-8")</f>
        <v>09.2022.00038258-8</v>
      </c>
      <c r="D646" s="4">
        <v>45621</v>
      </c>
      <c r="E646" s="16" t="str">
        <f>HYPERLINK("https://www8.mpce.mp.br/Empenhos/150001/Objeto/43-2022.pdf","EMPENHO REF. ASSINATURA ANUAL DE ACESSO À FERRAMENTA DE PESQUISAS DE PREÇOS PRATICADOS PELA ADMINISTRAÇÃO PÚBLICA, CONF. CONTRATO 043/2022 - 2º ADITIVO, REF. 2024.")</f>
        <v>EMPENHO REF. ASSINATURA ANUAL DE ACESSO À FERRAMENTA DE PESQUISAS DE PREÇOS PRATICADOS PELA ADMINISTRAÇÃO PÚBLICA, CONF. CONTRATO 043/2022 - 2º ADITIVO, REF. 2024.</v>
      </c>
      <c r="F646" s="2" t="s">
        <v>109</v>
      </c>
      <c r="G646" s="5" t="str">
        <f>HYPERLINK("http://www8.mpce.mp.br/Empenhos/150501/NE/2024NE001595.pdf","2024NE001595")</f>
        <v>2024NE001595</v>
      </c>
      <c r="H646" s="6">
        <v>32595</v>
      </c>
      <c r="I646" s="7" t="s">
        <v>936</v>
      </c>
      <c r="J646" s="10" t="s">
        <v>982</v>
      </c>
      <c r="K646" t="str">
        <f t="shared" si="4"/>
        <v>2024NE000706</v>
      </c>
      <c r="L646" s="13">
        <v>195000</v>
      </c>
      <c r="M646" t="s">
        <v>72</v>
      </c>
      <c r="N646">
        <v>82845322000104</v>
      </c>
    </row>
    <row r="647" spans="1:14" ht="51" x14ac:dyDescent="0.25">
      <c r="A647" s="12" t="s">
        <v>34</v>
      </c>
      <c r="B647" s="2" t="s">
        <v>643</v>
      </c>
      <c r="C647" s="3" t="str">
        <f>HYPERLINK("https://transparencia-area-fim.mpce.mp.br/#/consulta/processo/pastadigital/092024000214090","09.2024.00021409-0")</f>
        <v>09.2024.00021409-0</v>
      </c>
      <c r="D647" s="4">
        <v>45470</v>
      </c>
      <c r="E647" s="16" t="s">
        <v>644</v>
      </c>
      <c r="F647" s="2" t="s">
        <v>645</v>
      </c>
      <c r="G647" s="5" t="str">
        <f>HYPERLINK("http://www8.mpce.mp.br/Empenhos/150001/NE/2024NE001603.pdf","2024NE001603")</f>
        <v>2024NE001603</v>
      </c>
      <c r="H647" s="6">
        <v>2280</v>
      </c>
      <c r="I647" s="7" t="s">
        <v>646</v>
      </c>
      <c r="J647" s="10" t="s">
        <v>876</v>
      </c>
      <c r="K647" t="str">
        <f t="shared" si="4"/>
        <v>2024NE000706</v>
      </c>
      <c r="L647" s="13">
        <v>195000</v>
      </c>
      <c r="M647" t="s">
        <v>72</v>
      </c>
      <c r="N647">
        <v>82845322000104</v>
      </c>
    </row>
    <row r="648" spans="1:14" ht="25.5" x14ac:dyDescent="0.25">
      <c r="A648" s="12" t="s">
        <v>9</v>
      </c>
      <c r="B648" s="2" t="s">
        <v>80</v>
      </c>
      <c r="C648" s="3" t="str">
        <f>HYPERLINK("https://transparencia-area-fim.mpce.mp.br/#/consulta/processo/pastadigital/092024000215600","09.2024.00021560-0")</f>
        <v>09.2024.00021560-0</v>
      </c>
      <c r="D648" s="4">
        <v>45470</v>
      </c>
      <c r="E648" s="16" t="s">
        <v>647</v>
      </c>
      <c r="F648" s="2" t="s">
        <v>59</v>
      </c>
      <c r="G648" s="5" t="str">
        <f>HYPERLINK("http://www8.mpce.mp.br/Empenhos/150001/NE/2024NE001605.pdf","2024NE001605")</f>
        <v>2024NE001605</v>
      </c>
      <c r="H648" s="6">
        <v>250</v>
      </c>
      <c r="I648" s="7" t="s">
        <v>95</v>
      </c>
      <c r="J648" s="10" t="s">
        <v>96</v>
      </c>
      <c r="K648" t="str">
        <f t="shared" si="4"/>
        <v>2024NE000706</v>
      </c>
      <c r="L648" s="13">
        <v>195000</v>
      </c>
      <c r="M648" t="s">
        <v>72</v>
      </c>
      <c r="N648">
        <v>82845322000104</v>
      </c>
    </row>
    <row r="649" spans="1:14" ht="38.25" x14ac:dyDescent="0.25">
      <c r="A649" s="12" t="s">
        <v>9</v>
      </c>
      <c r="B649" s="2" t="s">
        <v>80</v>
      </c>
      <c r="C649" s="3" t="str">
        <f>HYPERLINK("https://transparencia-area-fim.mpce.mp.br/#/consulta/processo/pastadigital/092024000215577","09.2024.00021557-7")</f>
        <v>09.2024.00021557-7</v>
      </c>
      <c r="D649" s="4">
        <v>45474</v>
      </c>
      <c r="E649" s="16" t="s">
        <v>648</v>
      </c>
      <c r="F649" s="2" t="s">
        <v>59</v>
      </c>
      <c r="G649" s="5" t="str">
        <f>HYPERLINK("http://www8.mpce.mp.br/Empenhos/150001/NE/2024NE001610.pdf","2024NE001610")</f>
        <v>2024NE001610</v>
      </c>
      <c r="H649" s="6">
        <v>117.84</v>
      </c>
      <c r="I649" s="7" t="s">
        <v>92</v>
      </c>
      <c r="J649" s="10" t="s">
        <v>93</v>
      </c>
      <c r="K649" t="str">
        <f t="shared" si="4"/>
        <v>2024NE000706</v>
      </c>
      <c r="L649" s="13">
        <v>195000</v>
      </c>
      <c r="M649" t="s">
        <v>72</v>
      </c>
      <c r="N649">
        <v>82845322000104</v>
      </c>
    </row>
    <row r="650" spans="1:14" ht="76.5" x14ac:dyDescent="0.25">
      <c r="A650" s="12" t="s">
        <v>34</v>
      </c>
      <c r="B650" s="2" t="s">
        <v>997</v>
      </c>
      <c r="C650" s="3" t="str">
        <f>HYPERLINK("https://transparencia-area-fim.mpce.mp.br/#/consulta/processo/pastadigital/092022000343795","09.2022.00034379-5")</f>
        <v>09.2022.00034379-5</v>
      </c>
      <c r="D650" s="4">
        <v>45623</v>
      </c>
      <c r="E650" s="16" t="str">
        <f>HYPERLINK("https://www8.mpce.mp.br/Empenhos/150001/Objeto/25-2023.pdf","EMPENHO REFERENTE À DIFERENÇA ENTRE O VALOR ATUAL DO ALUGUEL E SEU POSSÍVEL NOVO VALOR, RELATIVO AO IMÓVEL ONDE FUNCIONAM AS PROMOTORIAS DE JUSTIÇA DA COMARCA DE CANINDÉ, CONF. CONTRATO Nº 025/2023, INERENTE AOS MESES DE NOVEMBRO E DEZEMBRO DE 2024.")</f>
        <v>EMPENHO REFERENTE À DIFERENÇA ENTRE O VALOR ATUAL DO ALUGUEL E SEU POSSÍVEL NOVO VALOR, RELATIVO AO IMÓVEL ONDE FUNCIONAM AS PROMOTORIAS DE JUSTIÇA DA COMARCA DE CANINDÉ, CONF. CONTRATO Nº 025/2023, INERENTE AOS MESES DE NOVEMBRO E DEZEMBRO DE 2024.</v>
      </c>
      <c r="F650" s="2" t="s">
        <v>116</v>
      </c>
      <c r="G650" s="5" t="str">
        <f>HYPERLINK("http://www8.mpce.mp.br/Empenhos/150501/NE/2024NE001612.pdf","2024NE001612")</f>
        <v>2024NE001612</v>
      </c>
      <c r="H650" s="6">
        <v>1568</v>
      </c>
      <c r="I650" s="7" t="s">
        <v>234</v>
      </c>
      <c r="J650" s="10" t="s">
        <v>235</v>
      </c>
      <c r="K650" t="str">
        <f t="shared" si="4"/>
        <v>2024NE000706</v>
      </c>
      <c r="L650" s="13">
        <v>195000</v>
      </c>
      <c r="M650" t="s">
        <v>72</v>
      </c>
      <c r="N650">
        <v>82845322000104</v>
      </c>
    </row>
    <row r="651" spans="1:14" ht="63.75" x14ac:dyDescent="0.25">
      <c r="A651" s="12" t="s">
        <v>34</v>
      </c>
      <c r="B651" s="2" t="s">
        <v>998</v>
      </c>
      <c r="C651" s="3" t="str">
        <f>HYPERLINK("https://transparencia-area-fim.mpce.mp.br/#/consulta/processo/pastadigital/092022000343818","09.2022.00034381-8")</f>
        <v>09.2022.00034381-8</v>
      </c>
      <c r="D651" s="4">
        <v>45623</v>
      </c>
      <c r="E651" s="16" t="str">
        <f>HYPERLINK("https://www8.mpce.mp.br/Empenhos/150001/Objeto/24-2023.pdf","EMPENHO REFERENTE À DIFERENÇA ENTRE O VALOR ATUAL DO ALUGUEL E SEU POSSÍVEL NOVO VALOR, RELATIVO AO IMÓVEL ONDE FUNCIONAM AS PROMOTORIAS DE JUSTIÇA DA COMARCA DE ITAPIPOCA, CONF. CONTRATO Nº 024/2023, INERENTE AO MÊS DE DEZEMBRO DE 2024.")</f>
        <v>EMPENHO REFERENTE À DIFERENÇA ENTRE O VALOR ATUAL DO ALUGUEL E SEU POSSÍVEL NOVO VALOR, RELATIVO AO IMÓVEL ONDE FUNCIONAM AS PROMOTORIAS DE JUSTIÇA DA COMARCA DE ITAPIPOCA, CONF. CONTRATO Nº 024/2023, INERENTE AO MÊS DE DEZEMBRO DE 2024.</v>
      </c>
      <c r="F651" s="2" t="s">
        <v>116</v>
      </c>
      <c r="G651" s="5" t="str">
        <f>HYPERLINK("http://www8.mpce.mp.br/Empenhos/150501/NE/2024NE001613.pdf","2024NE001613")</f>
        <v>2024NE001613</v>
      </c>
      <c r="H651" s="6">
        <v>900</v>
      </c>
      <c r="I651" s="7" t="s">
        <v>240</v>
      </c>
      <c r="J651" s="10" t="s">
        <v>241</v>
      </c>
      <c r="K651" t="str">
        <f t="shared" si="4"/>
        <v>2024NE000706</v>
      </c>
      <c r="L651" s="13">
        <v>195000</v>
      </c>
      <c r="M651" t="s">
        <v>72</v>
      </c>
      <c r="N651">
        <v>82845322000104</v>
      </c>
    </row>
    <row r="652" spans="1:14" ht="90" x14ac:dyDescent="0.25">
      <c r="A652" s="12" t="s">
        <v>34</v>
      </c>
      <c r="B652" s="2" t="s">
        <v>999</v>
      </c>
      <c r="C652" s="3" t="str">
        <f>HYPERLINK("https://transparencia-area-fim.mpce.mp.br/#/consulta/processo/pastadigital/092022000230870","09.2022.00023087-0")</f>
        <v>09.2022.00023087-0</v>
      </c>
      <c r="D652" s="4">
        <v>45623</v>
      </c>
      <c r="E652" s="17" t="str">
        <f>HYPERLINK("https://www8.mpce.mp.br/Empenhos/150001/Objeto/29-2022.pdf","EMPENHO REFERENTE À DIFERENÇA ENTRE O VALOR ATUAL DO ALUGUEL E SEU POSSÍVEL NOVO VALOR, RELATIVO AO IMÓVEL ONDE FUNCIONAM AS PROMOTORIAS DE JUSTIÇA DA COMARCA DE JUAZEIRO DO NORTE"&amp;", CONF. CONTRATO Nº 029/2022, INERENTE AOS MESES DE SETEMBRO À DEZEMBRO DE 2024.")</f>
        <v>EMPENHO REFERENTE À DIFERENÇA ENTRE O VALOR ATUAL DO ALUGUEL E SEU POSSÍVEL NOVO VALOR, RELATIVO AO IMÓVEL ONDE FUNCIONAM AS PROMOTORIAS DE JUSTIÇA DA COMARCA DE JUAZEIRO DO NORTE, CONF. CONTRATO Nº 029/2022, INERENTE AOS MESES DE SETEMBRO À DEZEMBRO DE 2024.</v>
      </c>
      <c r="F652" s="2" t="s">
        <v>116</v>
      </c>
      <c r="G652" s="5" t="str">
        <f>HYPERLINK("http://www8.mpce.mp.br/Empenhos/150501/NE/2024NE001614.pdf","2024NE001614")</f>
        <v>2024NE001614</v>
      </c>
      <c r="H652" s="6">
        <v>10089.32</v>
      </c>
      <c r="I652" s="7" t="s">
        <v>132</v>
      </c>
      <c r="J652" s="10" t="s">
        <v>133</v>
      </c>
      <c r="K652" t="str">
        <f t="shared" ref="K652:K661" si="5">HYPERLINK("http://www8.mpce.mp.br/Empenhos/150501/NE/2024NE000707.pdf","2024NE000707")</f>
        <v>2024NE000707</v>
      </c>
      <c r="L652" s="13">
        <v>97142.66</v>
      </c>
      <c r="M652" t="s">
        <v>72</v>
      </c>
      <c r="N652">
        <v>82845322000104</v>
      </c>
    </row>
    <row r="653" spans="1:14" ht="63.75" x14ac:dyDescent="0.25">
      <c r="A653" s="12" t="s">
        <v>9</v>
      </c>
      <c r="B653" s="2" t="s">
        <v>1000</v>
      </c>
      <c r="C653" s="3" t="str">
        <f>HYPERLINK("https://transparencia-area-fim.mpce.mp.br/#/consulta/processo/pastadigital/092023000293915","09.2023.00029391-5")</f>
        <v>09.2023.00029391-5</v>
      </c>
      <c r="D653" s="4">
        <v>45623</v>
      </c>
      <c r="E653" s="16" t="str">
        <f>HYPERLINK("https://www8.mpce.mp.br/Empenhos/150001/Objeto/54-2023.pdf","EMPENHO REFERENTE À DIFERENÇA ENTRE O VALOR ATUAL DO ALUGUEL E SEU POSSÍVEL NOVO VALOR, RELATIVO AO IMÓVEL ONDE FUNCIONA O ALMOXARIFADO E PATRIMÔNIO, CONF. CONTRATO Nº 054/2023, INERENTE AOS MESES DE SETEMBRO À DEZEMBRO DE 2024.")</f>
        <v>EMPENHO REFERENTE À DIFERENÇA ENTRE O VALOR ATUAL DO ALUGUEL E SEU POSSÍVEL NOVO VALOR, RELATIVO AO IMÓVEL ONDE FUNCIONA O ALMOXARIFADO E PATRIMÔNIO, CONF. CONTRATO Nº 054/2023, INERENTE AOS MESES DE SETEMBRO À DEZEMBRO DE 2024.</v>
      </c>
      <c r="F653" s="2" t="s">
        <v>116</v>
      </c>
      <c r="G653" s="5" t="str">
        <f>HYPERLINK("http://www8.mpce.mp.br/Empenhos/150501/NE/2024NE001615.pdf","2024NE001615")</f>
        <v>2024NE001615</v>
      </c>
      <c r="H653" s="6">
        <v>3750.2</v>
      </c>
      <c r="I653" s="7" t="s">
        <v>153</v>
      </c>
      <c r="J653" s="10" t="s">
        <v>154</v>
      </c>
      <c r="K653" t="str">
        <f t="shared" si="5"/>
        <v>2024NE000707</v>
      </c>
      <c r="L653" s="13">
        <v>97142.66</v>
      </c>
      <c r="M653" t="s">
        <v>72</v>
      </c>
      <c r="N653">
        <v>82845322000104</v>
      </c>
    </row>
    <row r="654" spans="1:14" ht="76.5" x14ac:dyDescent="0.25">
      <c r="A654" s="12" t="s">
        <v>34</v>
      </c>
      <c r="B654" s="2" t="s">
        <v>1001</v>
      </c>
      <c r="C654" s="3" t="str">
        <f>HYPERLINK("http://www8.mpce.mp.br/Dispensa/1320920133.pdf","13209/2013-3")</f>
        <v>13209/2013-3</v>
      </c>
      <c r="D654" s="4">
        <v>45623</v>
      </c>
      <c r="E654" s="16" t="str">
        <f>HYPERLINK("https://www8.mpce.mp.br/Empenhos/150001/Objeto/43-2013.pdf","EMPENHO REFERENTE À DIFERENÇA ENTRE O VALOR ATUAL DO ALUGUEL E SEU POSSÍVEL NOVO VALOR, RELATIVO AO IMÓVEL ONDE FUNCIONAM AS PROMOTORIAS DE JUSTIÇA DE MORADA NOVA, CONF. CONTRATO Nº 043/2013, INERENTE AOS MESES DE NOVEMBRO E  DEZEMBRO DE 2024.")</f>
        <v>EMPENHO REFERENTE À DIFERENÇA ENTRE O VALOR ATUAL DO ALUGUEL E SEU POSSÍVEL NOVO VALOR, RELATIVO AO IMÓVEL ONDE FUNCIONAM AS PROMOTORIAS DE JUSTIÇA DE MORADA NOVA, CONF. CONTRATO Nº 043/2013, INERENTE AOS MESES DE NOVEMBRO E  DEZEMBRO DE 2024.</v>
      </c>
      <c r="F654" s="2" t="s">
        <v>161</v>
      </c>
      <c r="G654" s="5" t="str">
        <f>HYPERLINK("http://www8.mpce.mp.br/Empenhos/150501/NE/2024NE001616.pdf","2024NE001616")</f>
        <v>2024NE001616</v>
      </c>
      <c r="H654" s="6">
        <v>815.02</v>
      </c>
      <c r="I654" s="7" t="s">
        <v>177</v>
      </c>
      <c r="J654" s="10" t="s">
        <v>178</v>
      </c>
      <c r="K654" t="str">
        <f t="shared" si="5"/>
        <v>2024NE000707</v>
      </c>
      <c r="L654" s="13">
        <v>97142.66</v>
      </c>
      <c r="M654" t="s">
        <v>72</v>
      </c>
      <c r="N654">
        <v>82845322000104</v>
      </c>
    </row>
    <row r="655" spans="1:14" ht="38.25" x14ac:dyDescent="0.25">
      <c r="A655" s="12" t="s">
        <v>9</v>
      </c>
      <c r="B655" s="2" t="s">
        <v>80</v>
      </c>
      <c r="C655" s="3" t="str">
        <f>HYPERLINK("https://transparencia-area-fim.mpce.mp.br/#/consulta/processo/pastadigital/092024000215999","09.2024.00021599-9")</f>
        <v>09.2024.00021599-9</v>
      </c>
      <c r="D655" s="4">
        <v>45474</v>
      </c>
      <c r="E655" s="16" t="s">
        <v>649</v>
      </c>
      <c r="F655" s="2" t="s">
        <v>59</v>
      </c>
      <c r="G655" s="5" t="str">
        <f>HYPERLINK("http://www8.mpce.mp.br/Empenhos/150001/NE/2024NE001616.pdf","2024NE001616")</f>
        <v>2024NE001616</v>
      </c>
      <c r="H655" s="6">
        <v>150</v>
      </c>
      <c r="I655" s="7" t="s">
        <v>63</v>
      </c>
      <c r="J655" s="10" t="s">
        <v>64</v>
      </c>
      <c r="K655" t="str">
        <f t="shared" si="5"/>
        <v>2024NE000707</v>
      </c>
      <c r="L655" s="13">
        <v>97142.66</v>
      </c>
      <c r="M655" t="s">
        <v>72</v>
      </c>
      <c r="N655">
        <v>82845322000104</v>
      </c>
    </row>
    <row r="656" spans="1:14" ht="38.25" x14ac:dyDescent="0.25">
      <c r="A656" s="12" t="s">
        <v>9</v>
      </c>
      <c r="B656" s="2" t="s">
        <v>80</v>
      </c>
      <c r="C656" s="3" t="str">
        <f>HYPERLINK("https://transparencia-area-fim.mpce.mp.br/#/consulta/processo/pastadigital/092024000216076","09.2024.00021607-6")</f>
        <v>09.2024.00021607-6</v>
      </c>
      <c r="D656" s="4">
        <v>45474</v>
      </c>
      <c r="E656" s="16" t="s">
        <v>650</v>
      </c>
      <c r="F656" s="2" t="s">
        <v>59</v>
      </c>
      <c r="G656" s="5" t="str">
        <f>HYPERLINK("http://www8.mpce.mp.br/Empenhos/150001/NE/2024NE001617.pdf","2024NE001617")</f>
        <v>2024NE001617</v>
      </c>
      <c r="H656" s="6">
        <v>245.16</v>
      </c>
      <c r="I656" s="7" t="s">
        <v>27</v>
      </c>
      <c r="J656" s="10" t="s">
        <v>28</v>
      </c>
      <c r="K656" t="str">
        <f t="shared" si="5"/>
        <v>2024NE000707</v>
      </c>
      <c r="L656" s="13">
        <v>97142.66</v>
      </c>
      <c r="M656" t="s">
        <v>72</v>
      </c>
      <c r="N656">
        <v>82845322000104</v>
      </c>
    </row>
    <row r="657" spans="1:14" ht="25.5" x14ac:dyDescent="0.25">
      <c r="A657" s="12" t="s">
        <v>9</v>
      </c>
      <c r="B657" s="2" t="s">
        <v>80</v>
      </c>
      <c r="C657" s="3" t="str">
        <f>HYPERLINK("https://transparencia-area-fim.mpce.mp.br/#/consulta/processo/pastadigital/092024000216043","09.2024.00021604-3")</f>
        <v>09.2024.00021604-3</v>
      </c>
      <c r="D657" s="4">
        <v>45474</v>
      </c>
      <c r="E657" s="16" t="s">
        <v>651</v>
      </c>
      <c r="F657" s="2" t="s">
        <v>59</v>
      </c>
      <c r="G657" s="5" t="str">
        <f>HYPERLINK("http://www8.mpce.mp.br/Empenhos/150001/NE/2024NE001618.pdf","2024NE001618")</f>
        <v>2024NE001618</v>
      </c>
      <c r="H657" s="6">
        <v>300</v>
      </c>
      <c r="I657" s="7" t="s">
        <v>32</v>
      </c>
      <c r="J657" s="10" t="s">
        <v>33</v>
      </c>
      <c r="K657" t="str">
        <f t="shared" si="5"/>
        <v>2024NE000707</v>
      </c>
      <c r="L657" s="13">
        <v>97142.66</v>
      </c>
      <c r="M657" t="s">
        <v>72</v>
      </c>
      <c r="N657">
        <v>82845322000104</v>
      </c>
    </row>
    <row r="658" spans="1:14" ht="51" x14ac:dyDescent="0.25">
      <c r="A658" s="12" t="s">
        <v>9</v>
      </c>
      <c r="B658" s="2" t="s">
        <v>429</v>
      </c>
      <c r="C658" s="3" t="str">
        <f>HYPERLINK("https://transparencia-area-fim.mpce.mp.br/#/consulta/processo/pastadigital/092024000215799","09.2024.00021579-9")</f>
        <v>09.2024.00021579-9</v>
      </c>
      <c r="D658" s="4">
        <v>45474</v>
      </c>
      <c r="E658" s="16" t="s">
        <v>652</v>
      </c>
      <c r="F658" s="2" t="s">
        <v>59</v>
      </c>
      <c r="G658" s="5" t="str">
        <f>HYPERLINK("http://www8.mpce.mp.br/Empenhos/150001/NE/2024NE001622.pdf","2024NE001622")</f>
        <v>2024NE001622</v>
      </c>
      <c r="H658" s="6">
        <v>60.78</v>
      </c>
      <c r="I658" s="7" t="s">
        <v>85</v>
      </c>
      <c r="J658" s="10" t="s">
        <v>86</v>
      </c>
      <c r="K658" t="str">
        <f t="shared" si="5"/>
        <v>2024NE000707</v>
      </c>
      <c r="L658" s="13">
        <v>97142.66</v>
      </c>
      <c r="M658" t="s">
        <v>72</v>
      </c>
      <c r="N658">
        <v>82845322000104</v>
      </c>
    </row>
    <row r="659" spans="1:14" ht="51" x14ac:dyDescent="0.25">
      <c r="A659" s="12" t="s">
        <v>9</v>
      </c>
      <c r="B659" s="2" t="s">
        <v>429</v>
      </c>
      <c r="C659" s="3" t="str">
        <f>HYPERLINK("https://transparencia-area-fim.mpce.mp.br/#/consulta/processo/pastadigital/092024000215877","09.2024.00021587-7")</f>
        <v>09.2024.00021587-7</v>
      </c>
      <c r="D659" s="4">
        <v>45474</v>
      </c>
      <c r="E659" s="16" t="s">
        <v>653</v>
      </c>
      <c r="F659" s="2" t="s">
        <v>59</v>
      </c>
      <c r="G659" s="5" t="str">
        <f>HYPERLINK("http://www8.mpce.mp.br/Empenhos/150001/NE/2024NE001623.pdf","2024NE001623")</f>
        <v>2024NE001623</v>
      </c>
      <c r="H659" s="6">
        <v>750</v>
      </c>
      <c r="I659" s="7" t="s">
        <v>78</v>
      </c>
      <c r="J659" s="10" t="s">
        <v>79</v>
      </c>
      <c r="K659" t="str">
        <f t="shared" si="5"/>
        <v>2024NE000707</v>
      </c>
      <c r="L659" s="13">
        <v>97142.66</v>
      </c>
      <c r="M659" t="s">
        <v>72</v>
      </c>
      <c r="N659">
        <v>82845322000104</v>
      </c>
    </row>
    <row r="660" spans="1:14" ht="38.25" x14ac:dyDescent="0.25">
      <c r="A660" s="12" t="s">
        <v>9</v>
      </c>
      <c r="B660" s="2" t="s">
        <v>80</v>
      </c>
      <c r="C660" s="3" t="str">
        <f>HYPERLINK("https://transparencia-area-fim.mpce.mp.br/#/consulta/processo/pastadigital/092024000215699","09.2024.00021569-9")</f>
        <v>09.2024.00021569-9</v>
      </c>
      <c r="D660" s="4">
        <v>45474</v>
      </c>
      <c r="E660" s="16" t="s">
        <v>654</v>
      </c>
      <c r="F660" s="2" t="s">
        <v>59</v>
      </c>
      <c r="G660" s="5" t="str">
        <f>HYPERLINK("http://www8.mpce.mp.br/Empenhos/150001/NE/2024NE001624.pdf","2024NE001624")</f>
        <v>2024NE001624</v>
      </c>
      <c r="H660" s="6">
        <v>200</v>
      </c>
      <c r="I660" s="7" t="s">
        <v>107</v>
      </c>
      <c r="J660" s="10" t="s">
        <v>108</v>
      </c>
      <c r="K660" t="str">
        <f t="shared" si="5"/>
        <v>2024NE000707</v>
      </c>
      <c r="L660" s="13">
        <v>97142.66</v>
      </c>
      <c r="M660" t="s">
        <v>72</v>
      </c>
      <c r="N660">
        <v>82845322000104</v>
      </c>
    </row>
    <row r="661" spans="1:14" ht="51" x14ac:dyDescent="0.25">
      <c r="A661" s="12" t="s">
        <v>9</v>
      </c>
      <c r="B661" s="2" t="s">
        <v>429</v>
      </c>
      <c r="C661" s="3" t="str">
        <f>HYPERLINK("https://transparencia-area-fim.mpce.mp.br/#/consulta/processo/pastadigital/092024000215911","09.2024.00021591-1")</f>
        <v>09.2024.00021591-1</v>
      </c>
      <c r="D661" s="4">
        <v>45475</v>
      </c>
      <c r="E661" s="16" t="s">
        <v>655</v>
      </c>
      <c r="F661" s="2" t="s">
        <v>59</v>
      </c>
      <c r="G661" s="5" t="str">
        <f>HYPERLINK("http://www8.mpce.mp.br/Empenhos/150001/NE/2024NE001625.pdf","2024NE001625")</f>
        <v>2024NE001625</v>
      </c>
      <c r="H661" s="6">
        <v>278.85000000000002</v>
      </c>
      <c r="I661" s="7" t="s">
        <v>75</v>
      </c>
      <c r="J661" s="10" t="s">
        <v>76</v>
      </c>
      <c r="K661" t="str">
        <f t="shared" si="5"/>
        <v>2024NE000707</v>
      </c>
      <c r="L661" s="13">
        <v>97142.66</v>
      </c>
      <c r="M661" t="s">
        <v>72</v>
      </c>
      <c r="N661">
        <v>82845322000104</v>
      </c>
    </row>
    <row r="662" spans="1:14" ht="38.25" x14ac:dyDescent="0.25">
      <c r="A662" s="12" t="s">
        <v>9</v>
      </c>
      <c r="B662" s="2" t="s">
        <v>80</v>
      </c>
      <c r="C662" s="3" t="str">
        <f>HYPERLINK("https://transparencia-area-fim.mpce.mp.br/#/consulta/processo/pastadigital/092024000215944","09.2024.00021594-4")</f>
        <v>09.2024.00021594-4</v>
      </c>
      <c r="D662" s="4">
        <v>45474</v>
      </c>
      <c r="E662" s="16" t="s">
        <v>656</v>
      </c>
      <c r="F662" s="2" t="s">
        <v>59</v>
      </c>
      <c r="G662" s="5" t="str">
        <f>HYPERLINK("http://www8.mpce.mp.br/Empenhos/150001/NE/2024NE001626.pdf","2024NE001626")</f>
        <v>2024NE001626</v>
      </c>
      <c r="H662" s="6">
        <v>188.73</v>
      </c>
      <c r="I662" s="7" t="s">
        <v>66</v>
      </c>
      <c r="J662" s="10" t="s">
        <v>67</v>
      </c>
      <c r="K662" t="str">
        <f t="shared" ref="K662:K671" si="6">HYPERLINK("http://www8.mpce.mp.br/Empenhos/150501/NE/2024NE000708.pdf","2024NE000708")</f>
        <v>2024NE000708</v>
      </c>
      <c r="L662" s="13">
        <v>228249.60000000001</v>
      </c>
      <c r="M662" t="s">
        <v>72</v>
      </c>
      <c r="N662">
        <v>82845322000104</v>
      </c>
    </row>
    <row r="663" spans="1:14" ht="38.25" x14ac:dyDescent="0.25">
      <c r="A663" s="12" t="s">
        <v>9</v>
      </c>
      <c r="B663" s="2" t="s">
        <v>80</v>
      </c>
      <c r="C663" s="3" t="str">
        <f>HYPERLINK("https://transparencia-area-fim.mpce.mp.br/#/consulta/processo/pastadigital/092024000216698","09.2024.00021669-8")</f>
        <v>09.2024.00021669-8</v>
      </c>
      <c r="D663" s="4">
        <v>45474</v>
      </c>
      <c r="E663" s="16" t="s">
        <v>657</v>
      </c>
      <c r="F663" s="2" t="s">
        <v>59</v>
      </c>
      <c r="G663" s="5" t="str">
        <f>HYPERLINK("http://www8.mpce.mp.br/Empenhos/150001/NE/2024NE001627.pdf","2024NE001627")</f>
        <v>2024NE001627</v>
      </c>
      <c r="H663" s="6">
        <v>226.05</v>
      </c>
      <c r="I663" s="7" t="s">
        <v>14</v>
      </c>
      <c r="J663" s="10" t="s">
        <v>15</v>
      </c>
      <c r="K663" t="str">
        <f t="shared" si="6"/>
        <v>2024NE000708</v>
      </c>
      <c r="L663" s="13">
        <v>228249.60000000001</v>
      </c>
      <c r="M663" t="s">
        <v>72</v>
      </c>
      <c r="N663">
        <v>82845322000104</v>
      </c>
    </row>
    <row r="664" spans="1:14" ht="51" x14ac:dyDescent="0.25">
      <c r="A664" s="12" t="s">
        <v>9</v>
      </c>
      <c r="B664" s="2" t="s">
        <v>1002</v>
      </c>
      <c r="C664" s="3" t="str">
        <f>HYPERLINK("https://transparencia-area-fim.mpce.mp.br/#/consulta/processo/pastadigital/092024000265223","09.2024.00026522-3")</f>
        <v>09.2024.00026522-3</v>
      </c>
      <c r="D664" s="4">
        <v>45625</v>
      </c>
      <c r="E664" s="16" t="str">
        <f>HYPERLINK("https://www8.mpce.mp.br/Empenhos/150001/Objeto/91-2024.pdf","EMPENHO DE ALUGUÉIS REF. AO IMÓVEL ONDE FUNCIONAM AS PROMOTORIAS DE JUSTIÇA DA COMARCA DE JAGUARIBE, INERENTE AOS MESES DE NOVEMBRO E DEZEMBRO DE 2024, CONF. CONTRATO Nº 091/2024.")</f>
        <v>EMPENHO DE ALUGUÉIS REF. AO IMÓVEL ONDE FUNCIONAM AS PROMOTORIAS DE JUSTIÇA DA COMARCA DE JAGUARIBE, INERENTE AOS MESES DE NOVEMBRO E DEZEMBRO DE 2024, CONF. CONTRATO Nº 091/2024.</v>
      </c>
      <c r="F664" s="2" t="s">
        <v>161</v>
      </c>
      <c r="G664" s="5" t="str">
        <f>HYPERLINK("http://www8.mpce.mp.br/Empenhos/150501/NE/2024NE001629.pdf","2024NE001629")</f>
        <v>2024NE001629</v>
      </c>
      <c r="H664" s="6">
        <v>6000</v>
      </c>
      <c r="I664" s="7" t="s">
        <v>1003</v>
      </c>
      <c r="J664" s="10" t="s">
        <v>1020</v>
      </c>
      <c r="K664" t="str">
        <f t="shared" si="6"/>
        <v>2024NE000708</v>
      </c>
      <c r="L664" s="13">
        <v>228249.60000000001</v>
      </c>
      <c r="M664" t="s">
        <v>72</v>
      </c>
      <c r="N664">
        <v>82845322000104</v>
      </c>
    </row>
    <row r="665" spans="1:14" ht="51" x14ac:dyDescent="0.25">
      <c r="A665" s="12" t="s">
        <v>9</v>
      </c>
      <c r="B665" s="2" t="s">
        <v>429</v>
      </c>
      <c r="C665" s="3" t="str">
        <f>HYPERLINK("https://transparencia-area-fim.mpce.mp.br/#/consulta/processo/pastadigital/092024000215933","09.2024.00021593-3")</f>
        <v>09.2024.00021593-3</v>
      </c>
      <c r="D665" s="4">
        <v>45474</v>
      </c>
      <c r="E665" s="16" t="s">
        <v>658</v>
      </c>
      <c r="F665" s="2" t="s">
        <v>59</v>
      </c>
      <c r="G665" s="5" t="str">
        <f>HYPERLINK("http://www8.mpce.mp.br/Empenhos/150001/NE/2024NE001643.pdf","2024NE001643")</f>
        <v>2024NE001643</v>
      </c>
      <c r="H665" s="6">
        <v>600</v>
      </c>
      <c r="I665" s="7" t="s">
        <v>69</v>
      </c>
      <c r="J665" s="10" t="s">
        <v>70</v>
      </c>
      <c r="K665" t="str">
        <f t="shared" si="6"/>
        <v>2024NE000708</v>
      </c>
      <c r="L665" s="13">
        <v>228249.60000000001</v>
      </c>
      <c r="M665" t="s">
        <v>72</v>
      </c>
      <c r="N665">
        <v>82845322000104</v>
      </c>
    </row>
    <row r="666" spans="1:14" ht="51" x14ac:dyDescent="0.25">
      <c r="A666" s="12" t="s">
        <v>9</v>
      </c>
      <c r="B666" s="2" t="s">
        <v>429</v>
      </c>
      <c r="C666" s="3" t="str">
        <f>HYPERLINK("https://transparencia-area-fim.mpce.mp.br/#/consulta/processo/pastadigital/092024000216876","09.2024.00021687-6")</f>
        <v>09.2024.00021687-6</v>
      </c>
      <c r="D666" s="4">
        <v>45474</v>
      </c>
      <c r="E666" s="16" t="s">
        <v>659</v>
      </c>
      <c r="F666" s="2" t="s">
        <v>59</v>
      </c>
      <c r="G666" s="5" t="str">
        <f>HYPERLINK("http://www8.mpce.mp.br/Empenhos/150001/NE/2024NE001644.pdf","2024NE001644")</f>
        <v>2024NE001644</v>
      </c>
      <c r="H666" s="6">
        <v>615</v>
      </c>
      <c r="I666" s="7" t="s">
        <v>19</v>
      </c>
      <c r="J666" s="10" t="s">
        <v>20</v>
      </c>
      <c r="K666" t="str">
        <f t="shared" si="6"/>
        <v>2024NE000708</v>
      </c>
      <c r="L666" s="13">
        <v>228249.60000000001</v>
      </c>
      <c r="M666" t="s">
        <v>72</v>
      </c>
      <c r="N666">
        <v>82845322000104</v>
      </c>
    </row>
    <row r="667" spans="1:14" ht="51" x14ac:dyDescent="0.25">
      <c r="A667" s="12" t="s">
        <v>9</v>
      </c>
      <c r="B667" s="2" t="s">
        <v>1004</v>
      </c>
      <c r="C667" s="3" t="str">
        <f>HYPERLINK("https://transparencia-area-fim.mpce.mp.br/#/consulta/processo/pastadigital/092024000240032","09.2024.00024003-2")</f>
        <v>09.2024.00024003-2</v>
      </c>
      <c r="D667" s="4">
        <v>45628</v>
      </c>
      <c r="E667" s="16" t="str">
        <f>HYPERLINK("https://www8.mpce.mp.br/Empenhos/150001/Objeto/93-2024.pdf","EMPENHO REF. LOCAÇÃO DE IMÓVEL ONDE FUNCIONA SEDE DE PROMOTORIAS DE JUSTIÇA DA COMARCA IPU, CONF. CONTRATO 093/2024, REF. NOV E DEZ/2024, POR ESTIMATIVA.")</f>
        <v>EMPENHO REF. LOCAÇÃO DE IMÓVEL ONDE FUNCIONA SEDE DE PROMOTORIAS DE JUSTIÇA DA COMARCA IPU, CONF. CONTRATO 093/2024, REF. NOV E DEZ/2024, POR ESTIMATIVA.</v>
      </c>
      <c r="F667" s="2" t="s">
        <v>161</v>
      </c>
      <c r="G667" s="5" t="str">
        <f>HYPERLINK("http://www8.mpce.mp.br/Empenhos/150501/NE/2024NE001654.pdf","2024NE001654")</f>
        <v>2024NE001654</v>
      </c>
      <c r="H667" s="6">
        <v>7634</v>
      </c>
      <c r="I667" s="7" t="s">
        <v>1005</v>
      </c>
      <c r="J667" s="10" t="s">
        <v>1021</v>
      </c>
      <c r="K667" t="str">
        <f t="shared" si="6"/>
        <v>2024NE000708</v>
      </c>
      <c r="L667" s="13">
        <v>228249.60000000001</v>
      </c>
      <c r="M667" t="s">
        <v>72</v>
      </c>
      <c r="N667">
        <v>82845322000104</v>
      </c>
    </row>
    <row r="668" spans="1:14" ht="51" x14ac:dyDescent="0.25">
      <c r="A668" s="12" t="s">
        <v>9</v>
      </c>
      <c r="B668" s="2" t="s">
        <v>429</v>
      </c>
      <c r="C668" s="3" t="str">
        <f>HYPERLINK("https://transparencia-area-fim.mpce.mp.br/#/consulta/processo/pastadigital/092024000217342","09.2024.00021734-2")</f>
        <v>09.2024.00021734-2</v>
      </c>
      <c r="D668" s="4">
        <v>45474</v>
      </c>
      <c r="E668" s="16" t="s">
        <v>660</v>
      </c>
      <c r="F668" s="2" t="s">
        <v>59</v>
      </c>
      <c r="G668" s="5" t="str">
        <f>HYPERLINK("http://www8.mpce.mp.br/Empenhos/150001/NE/2024NE001660.pdf","2024NE001660")</f>
        <v>2024NE001660</v>
      </c>
      <c r="H668" s="6">
        <v>6000</v>
      </c>
      <c r="I668" s="7" t="s">
        <v>98</v>
      </c>
      <c r="J668" s="10" t="s">
        <v>99</v>
      </c>
      <c r="K668" t="str">
        <f t="shared" si="6"/>
        <v>2024NE000708</v>
      </c>
      <c r="L668" s="13">
        <v>228249.60000000001</v>
      </c>
      <c r="M668" t="s">
        <v>72</v>
      </c>
      <c r="N668">
        <v>82845322000104</v>
      </c>
    </row>
    <row r="669" spans="1:14" ht="25.5" x14ac:dyDescent="0.25">
      <c r="A669" s="12" t="s">
        <v>9</v>
      </c>
      <c r="B669" s="2" t="s">
        <v>429</v>
      </c>
      <c r="C669" s="3" t="str">
        <f>HYPERLINK("https://transparencia-area-fim.mpce.mp.br/#/consulta/processo/pastadigital/092024000217486","09.2024.00021748-6")</f>
        <v>09.2024.00021748-6</v>
      </c>
      <c r="D669" s="4">
        <v>45475</v>
      </c>
      <c r="E669" s="16" t="s">
        <v>661</v>
      </c>
      <c r="F669" s="2" t="s">
        <v>59</v>
      </c>
      <c r="G669" s="5" t="str">
        <f>HYPERLINK("http://www8.mpce.mp.br/Empenhos/150001/NE/2024NE001663.pdf","2024NE001663")</f>
        <v>2024NE001663</v>
      </c>
      <c r="H669" s="6">
        <v>30000</v>
      </c>
      <c r="I669" s="7" t="s">
        <v>104</v>
      </c>
      <c r="J669" s="10" t="s">
        <v>105</v>
      </c>
      <c r="K669" t="str">
        <f t="shared" si="6"/>
        <v>2024NE000708</v>
      </c>
      <c r="L669" s="13">
        <v>228249.60000000001</v>
      </c>
      <c r="M669" t="s">
        <v>72</v>
      </c>
      <c r="N669">
        <v>82845322000104</v>
      </c>
    </row>
    <row r="670" spans="1:14" ht="51" x14ac:dyDescent="0.25">
      <c r="A670" s="12" t="s">
        <v>34</v>
      </c>
      <c r="B670" s="2" t="s">
        <v>1006</v>
      </c>
      <c r="C670" s="3" t="str">
        <f>HYPERLINK("https://transparencia-area-fim.mpce.mp.br/#/consulta/processo/pastadigital/092021000219739","09.2021.00021973-9")</f>
        <v>09.2021.00021973-9</v>
      </c>
      <c r="D670" s="4">
        <v>45629</v>
      </c>
      <c r="E670" s="16" t="str">
        <f>HYPERLINK("https://www8.mpce.mp.br/Empenhos/150001/Objeto/45-2021.pdf","EMPENHO REF. AS TAXAS CONDOMINIAIS DE IMÓVEL ONDE FUNCIONA SEDE DE PROMOTORIAS DE JUSTIÇA DA COMARCA DE EUSÉBIO, CONF. CONTRATO 045/2021, REF. AOS MESES DE NOVEMBRO E DEZEMBRO DE 2024.")</f>
        <v>EMPENHO REF. AS TAXAS CONDOMINIAIS DE IMÓVEL ONDE FUNCIONA SEDE DE PROMOTORIAS DE JUSTIÇA DA COMARCA DE EUSÉBIO, CONF. CONTRATO 045/2021, REF. AOS MESES DE NOVEMBRO E DEZEMBRO DE 2024.</v>
      </c>
      <c r="F670" s="2" t="s">
        <v>231</v>
      </c>
      <c r="G670" s="5" t="str">
        <f>HYPERLINK("http://www8.mpce.mp.br/Empenhos/150501/NE/2024NE001667.pdf","2024NE001667")</f>
        <v>2024NE001667</v>
      </c>
      <c r="H670" s="6">
        <v>998.2</v>
      </c>
      <c r="I670" s="7" t="s">
        <v>144</v>
      </c>
      <c r="J670" s="10" t="s">
        <v>145</v>
      </c>
      <c r="K670" t="str">
        <f t="shared" si="6"/>
        <v>2024NE000708</v>
      </c>
      <c r="L670" s="13">
        <v>228249.60000000001</v>
      </c>
      <c r="M670" t="s">
        <v>72</v>
      </c>
      <c r="N670">
        <v>82845322000104</v>
      </c>
    </row>
    <row r="671" spans="1:14" ht="38.25" x14ac:dyDescent="0.25">
      <c r="A671" s="12" t="s">
        <v>9</v>
      </c>
      <c r="B671" s="2" t="s">
        <v>429</v>
      </c>
      <c r="C671" s="3" t="str">
        <f>HYPERLINK("https://transparencia-area-fim.mpce.mp.br/#/consulta/processo/pastadigital/092024000217397","09.2024.00021739-7")</f>
        <v>09.2024.00021739-7</v>
      </c>
      <c r="D671" s="4">
        <v>45475</v>
      </c>
      <c r="E671" s="16" t="s">
        <v>662</v>
      </c>
      <c r="F671" s="2" t="s">
        <v>59</v>
      </c>
      <c r="G671" s="5" t="str">
        <f>HYPERLINK("http://www8.mpce.mp.br/Empenhos/150001/NE/2024NE001676.pdf","2024NE001676")</f>
        <v>2024NE001676</v>
      </c>
      <c r="H671" s="6">
        <v>419.16</v>
      </c>
      <c r="I671" s="7" t="s">
        <v>101</v>
      </c>
      <c r="J671" s="10" t="s">
        <v>102</v>
      </c>
      <c r="K671" t="str">
        <f t="shared" si="6"/>
        <v>2024NE000708</v>
      </c>
      <c r="L671" s="13">
        <v>228249.60000000001</v>
      </c>
      <c r="M671" t="s">
        <v>72</v>
      </c>
      <c r="N671">
        <v>82845322000104</v>
      </c>
    </row>
    <row r="672" spans="1:14" ht="38.25" x14ac:dyDescent="0.25">
      <c r="A672" s="12" t="s">
        <v>34</v>
      </c>
      <c r="B672" s="2" t="s">
        <v>944</v>
      </c>
      <c r="C672" s="3" t="str">
        <f>HYPERLINK("https://transparencia-area-fim.mpce.mp.br/#/consulta/processo/pastadigital/092024000367240","09.2024.00036724-0")</f>
        <v>09.2024.00036724-0</v>
      </c>
      <c r="D672" s="4">
        <v>45632</v>
      </c>
      <c r="E672" s="16" t="str">
        <f>HYPERLINK("https://www8.mpce.mp.br/Empenhos/150001/Objeto/01-2024.pdf","EMPENHO REF. SERVIÇOS TÉCNICOS ESPECIALIZADOS, SOB DEMANDA, CONF. CONTRATO 101/2024, REF. 2024, POR ESTIMATIVA.")</f>
        <v>EMPENHO REF. SERVIÇOS TÉCNICOS ESPECIALIZADOS, SOB DEMANDA, CONF. CONTRATO 101/2024, REF. 2024, POR ESTIMATIVA.</v>
      </c>
      <c r="F672" s="2" t="s">
        <v>679</v>
      </c>
      <c r="G672" s="5" t="str">
        <f>HYPERLINK("http://www8.mpce.mp.br/Empenhos/150501/NE/2024NE001688.pdf","2024NE001688")</f>
        <v>2024NE001688</v>
      </c>
      <c r="H672" s="6">
        <v>20065.34</v>
      </c>
      <c r="I672" s="7" t="s">
        <v>244</v>
      </c>
      <c r="J672" s="10" t="s">
        <v>245</v>
      </c>
      <c r="K672" t="str">
        <f t="shared" ref="K672:K681" si="7">HYPERLINK("http://www8.mpce.mp.br/Empenhos/150501/NE/2024NE000709.pdf","2024NE000709")</f>
        <v>2024NE000709</v>
      </c>
      <c r="L672" s="13">
        <v>204570.66</v>
      </c>
      <c r="M672" t="s">
        <v>72</v>
      </c>
      <c r="N672">
        <v>82845322000104</v>
      </c>
    </row>
    <row r="673" spans="1:14" ht="51" x14ac:dyDescent="0.25">
      <c r="A673" s="12" t="s">
        <v>9</v>
      </c>
      <c r="B673" s="2" t="s">
        <v>1007</v>
      </c>
      <c r="C673" s="3" t="str">
        <f>HYPERLINK("https://transparencia-area-fim.mpce.mp.br/#/consulta/processo/pastadigital/092024000007172","09.2024.00000717-2")</f>
        <v>09.2024.00000717-2</v>
      </c>
      <c r="D673" s="4">
        <v>45639</v>
      </c>
      <c r="E673" s="16" t="s">
        <v>1008</v>
      </c>
      <c r="F673" s="2" t="s">
        <v>109</v>
      </c>
      <c r="G673" s="5" t="str">
        <f>HYPERLINK("http://www8.mpce.mp.br/Empenhos/150501/NE/2024NE001738.pdf","2024NE001738")</f>
        <v>2024NE001738</v>
      </c>
      <c r="H673" s="6">
        <v>100917.23</v>
      </c>
      <c r="I673" s="7" t="s">
        <v>72</v>
      </c>
      <c r="J673" s="10" t="s">
        <v>73</v>
      </c>
      <c r="K673" t="str">
        <f t="shared" si="7"/>
        <v>2024NE000709</v>
      </c>
      <c r="L673" s="13">
        <v>204570.66</v>
      </c>
      <c r="M673" t="s">
        <v>72</v>
      </c>
      <c r="N673">
        <v>82845322000104</v>
      </c>
    </row>
    <row r="674" spans="1:14" ht="114.75" x14ac:dyDescent="0.25">
      <c r="A674" s="12" t="s">
        <v>9</v>
      </c>
      <c r="B674" s="2" t="s">
        <v>663</v>
      </c>
      <c r="C674" s="3" t="str">
        <f>HYPERLINK("https://transparencia-area-fim.mpce.mp.br/#/consulta/processo/pastadigital/092024000200440","09.2024.00020044-0")</f>
        <v>09.2024.00020044-0</v>
      </c>
      <c r="D674" s="4">
        <v>45483</v>
      </c>
      <c r="E674" s="16" t="s">
        <v>664</v>
      </c>
      <c r="F674" s="2" t="s">
        <v>373</v>
      </c>
      <c r="G674" s="5" t="str">
        <f>HYPERLINK("http://www8.mpce.mp.br/Empenhos/150001/NE/2024NE001801.pdf","2024NE001801")</f>
        <v>2024NE001801</v>
      </c>
      <c r="H674" s="6">
        <v>5114.34</v>
      </c>
      <c r="I674" s="7" t="s">
        <v>665</v>
      </c>
      <c r="J674" s="10" t="s">
        <v>877</v>
      </c>
      <c r="K674" t="str">
        <f t="shared" si="7"/>
        <v>2024NE000709</v>
      </c>
      <c r="L674" s="13">
        <v>204570.66</v>
      </c>
      <c r="M674" t="s">
        <v>72</v>
      </c>
      <c r="N674">
        <v>82845322000104</v>
      </c>
    </row>
    <row r="675" spans="1:14" ht="102" x14ac:dyDescent="0.25">
      <c r="A675" s="12" t="s">
        <v>9</v>
      </c>
      <c r="B675" s="2" t="s">
        <v>689</v>
      </c>
      <c r="C675" s="3" t="str">
        <f>HYPERLINK("https://transparencia-area-fim.mpce.mp.br/#/consulta/processo/pastadigital/092024000187620","09.2024.00018762-0")</f>
        <v>09.2024.00018762-0</v>
      </c>
      <c r="D675" s="4">
        <v>45485</v>
      </c>
      <c r="E675" s="16" t="s">
        <v>690</v>
      </c>
      <c r="F675" s="2" t="s">
        <v>373</v>
      </c>
      <c r="G675" s="5" t="str">
        <f>HYPERLINK("http://www8.mpce.mp.br/Empenhos/150001/NE/2024NE001826.pdf","2024NE001826")</f>
        <v>2024NE001826</v>
      </c>
      <c r="H675" s="6">
        <v>2000</v>
      </c>
      <c r="I675" s="7" t="s">
        <v>691</v>
      </c>
      <c r="J675" s="10" t="s">
        <v>878</v>
      </c>
      <c r="K675" t="str">
        <f t="shared" si="7"/>
        <v>2024NE000709</v>
      </c>
      <c r="L675" s="13">
        <v>204570.66</v>
      </c>
      <c r="M675" t="s">
        <v>72</v>
      </c>
      <c r="N675">
        <v>82845322000104</v>
      </c>
    </row>
    <row r="676" spans="1:14" ht="102" x14ac:dyDescent="0.25">
      <c r="A676" s="12" t="s">
        <v>9</v>
      </c>
      <c r="B676" s="2" t="s">
        <v>692</v>
      </c>
      <c r="C676" s="3" t="str">
        <f>HYPERLINK("https://transparencia-area-fim.mpce.mp.br/#/consulta/processo/pastadigital/092024000180749","09.2024.00018074-9")</f>
        <v>09.2024.00018074-9</v>
      </c>
      <c r="D676" s="4">
        <v>45489</v>
      </c>
      <c r="E676" s="16" t="s">
        <v>693</v>
      </c>
      <c r="F676" s="2" t="s">
        <v>373</v>
      </c>
      <c r="G676" s="5" t="str">
        <f>HYPERLINK("http://www8.mpce.mp.br/Empenhos/150001/NE/2024NE001841.pdf","2024NE001841")</f>
        <v>2024NE001841</v>
      </c>
      <c r="H676" s="6">
        <v>5219.3</v>
      </c>
      <c r="I676" s="7" t="s">
        <v>694</v>
      </c>
      <c r="J676" s="10" t="s">
        <v>879</v>
      </c>
      <c r="K676" t="str">
        <f t="shared" si="7"/>
        <v>2024NE000709</v>
      </c>
      <c r="L676" s="13">
        <v>204570.66</v>
      </c>
      <c r="M676" t="s">
        <v>72</v>
      </c>
      <c r="N676">
        <v>82845322000104</v>
      </c>
    </row>
    <row r="677" spans="1:14" ht="56.25" x14ac:dyDescent="0.25">
      <c r="A677" s="12" t="s">
        <v>34</v>
      </c>
      <c r="B677" s="2" t="s">
        <v>695</v>
      </c>
      <c r="C677" s="3" t="str">
        <f>HYPERLINK("https://transparencia-area-fim.mpce.mp.br/#/consulta/processo/pastadigital/092024000068237","09.2024.00006823-7")</f>
        <v>09.2024.00006823-7</v>
      </c>
      <c r="D677" s="4">
        <v>45499</v>
      </c>
      <c r="E677" s="16" t="s">
        <v>696</v>
      </c>
      <c r="F677" s="2" t="s">
        <v>697</v>
      </c>
      <c r="G677" s="5" t="str">
        <f>HYPERLINK("http://www8.mpce.mp.br/Empenhos/150001/NE/2024NE001863.pdf","2024NE001863")</f>
        <v>2024NE001863</v>
      </c>
      <c r="H677" s="6">
        <v>14600</v>
      </c>
      <c r="I677" s="7" t="s">
        <v>698</v>
      </c>
      <c r="J677" s="10" t="s">
        <v>880</v>
      </c>
      <c r="K677" t="str">
        <f t="shared" si="7"/>
        <v>2024NE000709</v>
      </c>
      <c r="L677" s="13">
        <v>204570.66</v>
      </c>
      <c r="M677" t="s">
        <v>72</v>
      </c>
      <c r="N677">
        <v>82845322000104</v>
      </c>
    </row>
    <row r="678" spans="1:14" ht="56.25" x14ac:dyDescent="0.25">
      <c r="A678" s="12" t="s">
        <v>34</v>
      </c>
      <c r="B678" s="2" t="s">
        <v>695</v>
      </c>
      <c r="C678" s="3" t="str">
        <f>HYPERLINK("https://transparencia-area-fim.mpce.mp.br/#/consulta/processo/pastadigital/092024000068237","09.2024.00006823-7")</f>
        <v>09.2024.00006823-7</v>
      </c>
      <c r="D678" s="4">
        <v>45499</v>
      </c>
      <c r="E678" s="16" t="s">
        <v>699</v>
      </c>
      <c r="F678" s="2" t="s">
        <v>697</v>
      </c>
      <c r="G678" s="5" t="str">
        <f>HYPERLINK("http://www8.mpce.mp.br/Empenhos/150001/NE/2024NE001864.pdf","2024NE001864")</f>
        <v>2024NE001864</v>
      </c>
      <c r="H678" s="6">
        <v>14975</v>
      </c>
      <c r="I678" s="7" t="s">
        <v>937</v>
      </c>
      <c r="J678" s="10" t="s">
        <v>881</v>
      </c>
      <c r="K678" t="str">
        <f t="shared" si="7"/>
        <v>2024NE000709</v>
      </c>
      <c r="L678" s="13">
        <v>204570.66</v>
      </c>
      <c r="M678" t="s">
        <v>72</v>
      </c>
      <c r="N678">
        <v>82845322000104</v>
      </c>
    </row>
    <row r="679" spans="1:14" ht="63.75" x14ac:dyDescent="0.25">
      <c r="A679" s="12" t="s">
        <v>34</v>
      </c>
      <c r="B679" s="2" t="s">
        <v>700</v>
      </c>
      <c r="C679" s="3" t="str">
        <f>HYPERLINK("https://transparencia-area-fim.mpce.mp.br/#/consulta/processo/pastadigital/092024000055164","09.2024.00005516-4")</f>
        <v>09.2024.00005516-4</v>
      </c>
      <c r="D679" s="4">
        <v>45492</v>
      </c>
      <c r="E679" s="16" t="s">
        <v>701</v>
      </c>
      <c r="F679" s="2" t="s">
        <v>702</v>
      </c>
      <c r="G679" s="5" t="str">
        <f>HYPERLINK("http://www8.mpce.mp.br/Empenhos/150001/NE/2024NE001870.pdf","2024NE001870")</f>
        <v>2024NE001870</v>
      </c>
      <c r="H679" s="6">
        <v>6873</v>
      </c>
      <c r="I679" s="7" t="s">
        <v>703</v>
      </c>
      <c r="J679" s="10" t="s">
        <v>882</v>
      </c>
      <c r="K679" t="str">
        <f t="shared" si="7"/>
        <v>2024NE000709</v>
      </c>
      <c r="L679" s="13">
        <v>204570.66</v>
      </c>
      <c r="M679" t="s">
        <v>72</v>
      </c>
      <c r="N679">
        <v>82845322000104</v>
      </c>
    </row>
    <row r="680" spans="1:14" ht="114.75" x14ac:dyDescent="0.25">
      <c r="A680" s="12" t="s">
        <v>9</v>
      </c>
      <c r="B680" s="2" t="s">
        <v>704</v>
      </c>
      <c r="C680" s="3" t="str">
        <f>HYPERLINK("https://transparencia-area-fim.mpce.mp.br/#/consulta/processo/pastadigital/092024000228840","09.2024.00022884-0")</f>
        <v>09.2024.00022884-0</v>
      </c>
      <c r="D680" s="4">
        <v>45498</v>
      </c>
      <c r="E680" s="16" t="s">
        <v>705</v>
      </c>
      <c r="F680" s="2" t="s">
        <v>373</v>
      </c>
      <c r="G680" s="5" t="str">
        <f>HYPERLINK("http://www8.mpce.mp.br/Empenhos/150001/NE/2024NE001897.pdf","2024NE001897")</f>
        <v>2024NE001897</v>
      </c>
      <c r="H680" s="6">
        <v>2000</v>
      </c>
      <c r="I680" s="7" t="s">
        <v>706</v>
      </c>
      <c r="J680" s="10" t="s">
        <v>883</v>
      </c>
      <c r="K680" t="str">
        <f t="shared" si="7"/>
        <v>2024NE000709</v>
      </c>
      <c r="L680" s="13">
        <v>204570.66</v>
      </c>
      <c r="M680" t="s">
        <v>72</v>
      </c>
      <c r="N680">
        <v>82845322000104</v>
      </c>
    </row>
    <row r="681" spans="1:14" ht="114.75" x14ac:dyDescent="0.25">
      <c r="A681" s="12" t="s">
        <v>9</v>
      </c>
      <c r="B681" s="2" t="s">
        <v>707</v>
      </c>
      <c r="C681" s="3" t="str">
        <f>HYPERLINK("https://transparencia-area-fim.mpce.mp.br/#/consulta/processo/pastadigital/092024000180071","09.2024.00018007-1")</f>
        <v>09.2024.00018007-1</v>
      </c>
      <c r="D681" s="4">
        <v>45510</v>
      </c>
      <c r="E681" s="16" t="s">
        <v>708</v>
      </c>
      <c r="F681" s="2" t="s">
        <v>373</v>
      </c>
      <c r="G681" s="5" t="str">
        <f>HYPERLINK("http://www8.mpce.mp.br/Empenhos/150001/NE/2024NE001958.pdf","2024NE001958")</f>
        <v>2024NE001958</v>
      </c>
      <c r="H681" s="6">
        <v>11763.25</v>
      </c>
      <c r="I681" s="7" t="s">
        <v>709</v>
      </c>
      <c r="J681" s="10" t="s">
        <v>884</v>
      </c>
      <c r="K681" t="str">
        <f t="shared" si="7"/>
        <v>2024NE000709</v>
      </c>
      <c r="L681" s="13">
        <v>204570.66</v>
      </c>
      <c r="M681" t="s">
        <v>72</v>
      </c>
      <c r="N681">
        <v>82845322000104</v>
      </c>
    </row>
    <row r="682" spans="1:14" ht="102" x14ac:dyDescent="0.25">
      <c r="A682" s="12" t="s">
        <v>9</v>
      </c>
      <c r="B682" s="2" t="s">
        <v>710</v>
      </c>
      <c r="C682" s="3" t="str">
        <f>HYPERLINK("https://transparencia-area-fim.mpce.mp.br/#/consulta/processo/pastadigital/092024000198072","09.2024.00019807-2")</f>
        <v>09.2024.00019807-2</v>
      </c>
      <c r="D682" s="4">
        <v>45504</v>
      </c>
      <c r="E682" s="16" t="s">
        <v>711</v>
      </c>
      <c r="F682" s="2" t="s">
        <v>373</v>
      </c>
      <c r="G682" s="5" t="str">
        <f>HYPERLINK("http://www8.mpce.mp.br/Empenhos/150001/NE/2024NE001959.pdf","2024NE001959")</f>
        <v>2024NE001959</v>
      </c>
      <c r="H682" s="6">
        <v>3000</v>
      </c>
      <c r="I682" s="7" t="s">
        <v>712</v>
      </c>
      <c r="J682" s="10" t="s">
        <v>885</v>
      </c>
      <c r="K682" t="str">
        <f t="shared" ref="K682:K691" si="8">HYPERLINK("http://www8.mpce.mp.br/Empenhos/150501/NE/2024NE000710.pdf","2024NE000710")</f>
        <v>2024NE000710</v>
      </c>
      <c r="L682" s="13">
        <v>110144</v>
      </c>
      <c r="M682" t="s">
        <v>72</v>
      </c>
      <c r="N682">
        <v>82845322000104</v>
      </c>
    </row>
    <row r="683" spans="1:14" ht="178.5" x14ac:dyDescent="0.25">
      <c r="A683" s="12" t="s">
        <v>9</v>
      </c>
      <c r="B683" s="2" t="s">
        <v>713</v>
      </c>
      <c r="C683" s="3" t="str">
        <f>HYPERLINK("https://transparencia-area-fim.mpce.mp.br/#/consulta/processo/pastadigital/092024000240698","09.2024.00024069-8")</f>
        <v>09.2024.00024069-8</v>
      </c>
      <c r="D683" s="4">
        <v>45511</v>
      </c>
      <c r="E683" s="16" t="s">
        <v>714</v>
      </c>
      <c r="F683" s="2" t="s">
        <v>373</v>
      </c>
      <c r="G683" s="5" t="str">
        <f>HYPERLINK("http://www8.mpce.mp.br/Empenhos/150001/NE/2024NE002014.pdf","2024NE002014")</f>
        <v>2024NE002014</v>
      </c>
      <c r="H683" s="6">
        <v>8490</v>
      </c>
      <c r="I683" s="7" t="s">
        <v>715</v>
      </c>
      <c r="J683" s="10" t="s">
        <v>886</v>
      </c>
      <c r="K683" t="str">
        <f t="shared" si="8"/>
        <v>2024NE000710</v>
      </c>
      <c r="L683" s="13">
        <v>110144</v>
      </c>
      <c r="M683" t="s">
        <v>72</v>
      </c>
      <c r="N683">
        <v>82845322000104</v>
      </c>
    </row>
    <row r="684" spans="1:14" ht="56.25" x14ac:dyDescent="0.25">
      <c r="A684" s="12" t="s">
        <v>34</v>
      </c>
      <c r="B684" s="2" t="s">
        <v>716</v>
      </c>
      <c r="C684" s="3" t="str">
        <f>HYPERLINK("https://transparencia-area-fim.mpce.mp.br/#/consulta/processo/pastadigital/092024000027979","09.2024.00002797-9")</f>
        <v>09.2024.00002797-9</v>
      </c>
      <c r="D684" s="4">
        <v>45516</v>
      </c>
      <c r="E684" s="16" t="s">
        <v>717</v>
      </c>
      <c r="F684" s="2" t="s">
        <v>718</v>
      </c>
      <c r="G684" s="5" t="str">
        <f>HYPERLINK("http://www8.mpce.mp.br/Empenhos/150001/NE/2024NE002039.pdf","2024NE002039")</f>
        <v>2024NE002039</v>
      </c>
      <c r="H684" s="6">
        <v>14492.3</v>
      </c>
      <c r="I684" s="7" t="s">
        <v>719</v>
      </c>
      <c r="J684" s="10" t="s">
        <v>887</v>
      </c>
      <c r="K684" t="str">
        <f t="shared" si="8"/>
        <v>2024NE000710</v>
      </c>
      <c r="L684" s="13">
        <v>110144</v>
      </c>
      <c r="M684" t="s">
        <v>72</v>
      </c>
      <c r="N684">
        <v>82845322000104</v>
      </c>
    </row>
    <row r="685" spans="1:14" ht="56.25" x14ac:dyDescent="0.25">
      <c r="A685" s="12" t="s">
        <v>34</v>
      </c>
      <c r="B685" s="2" t="s">
        <v>720</v>
      </c>
      <c r="C685" s="3" t="str">
        <f>HYPERLINK("https://transparencia-area-fim.mpce.mp.br/#/consulta/processo/pastadigital/092024000262548","09.2024.00026254-8")</f>
        <v>09.2024.00026254-8</v>
      </c>
      <c r="D685" s="4">
        <v>45517</v>
      </c>
      <c r="E685" s="16" t="s">
        <v>721</v>
      </c>
      <c r="F685" s="2" t="s">
        <v>722</v>
      </c>
      <c r="G685" s="5" t="str">
        <f>HYPERLINK("http://www8.mpce.mp.br/Empenhos/150001/NE/2024NE002108.pdf","2024NE002108")</f>
        <v>2024NE002108</v>
      </c>
      <c r="H685" s="6">
        <v>1459.2</v>
      </c>
      <c r="I685" s="7" t="s">
        <v>723</v>
      </c>
      <c r="J685" s="10" t="s">
        <v>888</v>
      </c>
      <c r="K685" t="str">
        <f t="shared" si="8"/>
        <v>2024NE000710</v>
      </c>
      <c r="L685" s="13">
        <v>110144</v>
      </c>
      <c r="M685" t="s">
        <v>72</v>
      </c>
      <c r="N685">
        <v>82845322000104</v>
      </c>
    </row>
    <row r="686" spans="1:14" ht="38.25" x14ac:dyDescent="0.25">
      <c r="A686" s="12" t="s">
        <v>9</v>
      </c>
      <c r="B686" s="2" t="s">
        <v>589</v>
      </c>
      <c r="C686" s="3" t="str">
        <f>HYPERLINK("https://transparencia-area-fim.mpce.mp.br/#/consulta/processo/pastadigital/092024000269420","09.2024.00026942-0")</f>
        <v>09.2024.00026942-0</v>
      </c>
      <c r="D686" s="4">
        <v>45523</v>
      </c>
      <c r="E686" s="16" t="s">
        <v>724</v>
      </c>
      <c r="F686" s="2" t="s">
        <v>296</v>
      </c>
      <c r="G686" s="5" t="str">
        <f>HYPERLINK("http://www8.mpce.mp.br/Empenhos/150001/NE/2024NE002160.pdf","2024NE002160")</f>
        <v>2024NE002160</v>
      </c>
      <c r="H686" s="6">
        <v>178303.58</v>
      </c>
      <c r="I686" s="7" t="s">
        <v>297</v>
      </c>
      <c r="J686" s="10" t="s">
        <v>832</v>
      </c>
      <c r="K686" t="str">
        <f t="shared" si="8"/>
        <v>2024NE000710</v>
      </c>
      <c r="L686" s="13">
        <v>110144</v>
      </c>
      <c r="M686" t="s">
        <v>72</v>
      </c>
      <c r="N686">
        <v>82845322000104</v>
      </c>
    </row>
    <row r="687" spans="1:14" ht="38.25" x14ac:dyDescent="0.25">
      <c r="A687" s="12" t="s">
        <v>9</v>
      </c>
      <c r="B687" s="2" t="s">
        <v>589</v>
      </c>
      <c r="C687" s="3" t="str">
        <f>HYPERLINK("https://transparencia-area-fim.mpce.mp.br/#/consulta/processo/pastadigital/092024000269041","09.2024.00026904-1")</f>
        <v>09.2024.00026904-1</v>
      </c>
      <c r="D687" s="4">
        <v>45523</v>
      </c>
      <c r="E687" s="16" t="s">
        <v>725</v>
      </c>
      <c r="F687" s="2" t="s">
        <v>296</v>
      </c>
      <c r="G687" s="5" t="str">
        <f>HYPERLINK("http://www8.mpce.mp.br/Empenhos/150001/NE/2024NE002161.pdf","2024NE002161")</f>
        <v>2024NE002161</v>
      </c>
      <c r="H687" s="6">
        <v>80643.31</v>
      </c>
      <c r="I687" s="7" t="s">
        <v>297</v>
      </c>
      <c r="J687" s="10" t="s">
        <v>832</v>
      </c>
      <c r="K687" t="str">
        <f t="shared" si="8"/>
        <v>2024NE000710</v>
      </c>
      <c r="L687" s="13">
        <v>110144</v>
      </c>
      <c r="M687" t="s">
        <v>72</v>
      </c>
      <c r="N687">
        <v>82845322000104</v>
      </c>
    </row>
    <row r="688" spans="1:14" ht="102" x14ac:dyDescent="0.25">
      <c r="A688" s="12" t="s">
        <v>34</v>
      </c>
      <c r="B688" s="2" t="s">
        <v>726</v>
      </c>
      <c r="C688" s="3" t="str">
        <f>HYPERLINK("https://transparencia-area-fim.mpce.mp.br/#/consulta/processo/pastadigital/092024000237150","09.2024.00023715-0")</f>
        <v>09.2024.00023715-0</v>
      </c>
      <c r="D688" s="4">
        <v>45524</v>
      </c>
      <c r="E688" s="16" t="s">
        <v>727</v>
      </c>
      <c r="F688" s="2" t="s">
        <v>446</v>
      </c>
      <c r="G688" s="5" t="str">
        <f>HYPERLINK("http://www8.mpce.mp.br/Empenhos/150001/NE/2024NE002178.pdf","2024NE002178")</f>
        <v>2024NE002178</v>
      </c>
      <c r="H688" s="6">
        <v>2375</v>
      </c>
      <c r="I688" s="7" t="s">
        <v>728</v>
      </c>
      <c r="J688" s="10" t="s">
        <v>889</v>
      </c>
      <c r="K688" t="str">
        <f t="shared" si="8"/>
        <v>2024NE000710</v>
      </c>
      <c r="L688" s="13">
        <v>110144</v>
      </c>
      <c r="M688" t="s">
        <v>72</v>
      </c>
      <c r="N688">
        <v>82845322000104</v>
      </c>
    </row>
    <row r="689" spans="1:14" ht="63.75" x14ac:dyDescent="0.25">
      <c r="A689" s="12" t="s">
        <v>9</v>
      </c>
      <c r="B689" s="2" t="s">
        <v>729</v>
      </c>
      <c r="C689" s="3" t="str">
        <f>HYPERLINK("https://transparencia-area-fim.mpce.mp.br/#/consulta/processo/pastadigital/092024000081362","09.2024.00008136-2")</f>
        <v>09.2024.00008136-2</v>
      </c>
      <c r="D689" s="4">
        <v>45530</v>
      </c>
      <c r="E689" s="16" t="s">
        <v>730</v>
      </c>
      <c r="F689" s="2" t="s">
        <v>373</v>
      </c>
      <c r="G689" s="5" t="str">
        <f>HYPERLINK("http://www8.mpce.mp.br/Empenhos/150001/NE/2024NE002190.pdf","2024NE002190")</f>
        <v>2024NE002190</v>
      </c>
      <c r="H689" s="6">
        <v>1200</v>
      </c>
      <c r="I689" s="7" t="s">
        <v>731</v>
      </c>
      <c r="J689" s="10" t="s">
        <v>890</v>
      </c>
      <c r="K689" t="str">
        <f t="shared" si="8"/>
        <v>2024NE000710</v>
      </c>
      <c r="L689" s="13">
        <v>110144</v>
      </c>
      <c r="M689" t="s">
        <v>72</v>
      </c>
      <c r="N689">
        <v>82845322000104</v>
      </c>
    </row>
    <row r="690" spans="1:14" ht="38.25" x14ac:dyDescent="0.25">
      <c r="A690" s="12" t="s">
        <v>9</v>
      </c>
      <c r="B690" s="2" t="s">
        <v>589</v>
      </c>
      <c r="C690" s="3" t="str">
        <f>HYPERLINK("https://transparencia-area-fim.mpce.mp.br/#/consulta/processo/pastadigital/092024000275787","09.2024.00027578-7")</f>
        <v>09.2024.00027578-7</v>
      </c>
      <c r="D690" s="4">
        <v>45532</v>
      </c>
      <c r="E690" s="16" t="s">
        <v>732</v>
      </c>
      <c r="F690" s="2" t="s">
        <v>296</v>
      </c>
      <c r="G690" s="5" t="str">
        <f>HYPERLINK("http://www8.mpce.mp.br/Empenhos/150001/NE/2024NE002206.pdf","2024NE002206")</f>
        <v>2024NE002206</v>
      </c>
      <c r="H690" s="6">
        <v>100000</v>
      </c>
      <c r="I690" s="7" t="s">
        <v>297</v>
      </c>
      <c r="J690" s="10" t="s">
        <v>832</v>
      </c>
      <c r="K690" t="str">
        <f t="shared" si="8"/>
        <v>2024NE000710</v>
      </c>
      <c r="L690" s="13">
        <v>110144</v>
      </c>
      <c r="M690" t="s">
        <v>72</v>
      </c>
      <c r="N690">
        <v>82845322000104</v>
      </c>
    </row>
    <row r="691" spans="1:14" ht="38.25" x14ac:dyDescent="0.25">
      <c r="A691" s="12" t="s">
        <v>9</v>
      </c>
      <c r="B691" s="2" t="s">
        <v>589</v>
      </c>
      <c r="C691" s="3" t="str">
        <f>HYPERLINK("https://transparencia-area-fim.mpce.mp.br/#/consulta/processo/pastadigital/092024000277920","09.2024.00027792-0")</f>
        <v>09.2024.00027792-0</v>
      </c>
      <c r="D691" s="4">
        <v>45532</v>
      </c>
      <c r="E691" s="16" t="s">
        <v>733</v>
      </c>
      <c r="F691" s="2" t="s">
        <v>296</v>
      </c>
      <c r="G691" s="5" t="str">
        <f>HYPERLINK("http://www8.mpce.mp.br/Empenhos/150001/NE/2024NE002207.pdf","2024NE002207")</f>
        <v>2024NE002207</v>
      </c>
      <c r="H691" s="6">
        <v>200000</v>
      </c>
      <c r="I691" s="7" t="s">
        <v>297</v>
      </c>
      <c r="J691" s="10" t="s">
        <v>832</v>
      </c>
      <c r="K691" t="str">
        <f t="shared" si="8"/>
        <v>2024NE000710</v>
      </c>
      <c r="L691" s="13">
        <v>110144</v>
      </c>
      <c r="M691" t="s">
        <v>72</v>
      </c>
      <c r="N691">
        <v>82845322000104</v>
      </c>
    </row>
    <row r="692" spans="1:14" ht="38.25" x14ac:dyDescent="0.25">
      <c r="A692" s="12" t="s">
        <v>34</v>
      </c>
      <c r="B692" s="2" t="s">
        <v>726</v>
      </c>
      <c r="C692" s="3" t="str">
        <f>HYPERLINK("https://transparencia-area-fim.mpce.mp.br/#/consulta/processo/pastadigital/092024000248068","09.2024.00024806-8")</f>
        <v>09.2024.00024806-8</v>
      </c>
      <c r="D692" s="4">
        <v>45527</v>
      </c>
      <c r="E692" s="16" t="s">
        <v>734</v>
      </c>
      <c r="F692" s="2" t="s">
        <v>735</v>
      </c>
      <c r="G692" s="5" t="str">
        <f>HYPERLINK("http://www8.mpce.mp.br/Empenhos/150001/NE/2024NE002241.pdf","2024NE002241")</f>
        <v>2024NE002241</v>
      </c>
      <c r="H692" s="6">
        <v>1000</v>
      </c>
      <c r="I692" s="7" t="s">
        <v>736</v>
      </c>
      <c r="J692" s="10" t="s">
        <v>891</v>
      </c>
      <c r="K692" t="str">
        <f>HYPERLINK("http://www8.mpce.mp.br/Empenhos/150501/NE/2024NE000711.pdf","2024NE000711")</f>
        <v>2024NE000711</v>
      </c>
      <c r="L692" s="13">
        <v>2531.5</v>
      </c>
      <c r="M692" t="s">
        <v>110</v>
      </c>
      <c r="N692">
        <v>7955535000165</v>
      </c>
    </row>
    <row r="693" spans="1:14" ht="76.5" x14ac:dyDescent="0.25">
      <c r="A693" s="12" t="s">
        <v>34</v>
      </c>
      <c r="B693" s="2" t="s">
        <v>737</v>
      </c>
      <c r="C693" s="3" t="str">
        <f>HYPERLINK("https://transparencia-area-fim.mpce.mp.br/#/consulta/processo/pastadigital/092024000285885","09.2024.00028588-5")</f>
        <v>09.2024.00028588-5</v>
      </c>
      <c r="D693" s="4">
        <v>45534</v>
      </c>
      <c r="E693" s="16" t="s">
        <v>738</v>
      </c>
      <c r="F693" s="2" t="s">
        <v>739</v>
      </c>
      <c r="G693" s="5" t="str">
        <f>HYPERLINK("http://www8.mpce.mp.br/Empenhos/150001/NE/2024NE002291.pdf","2024NE002291")</f>
        <v>2024NE002291</v>
      </c>
      <c r="H693" s="6">
        <v>600</v>
      </c>
      <c r="I693" s="7" t="s">
        <v>740</v>
      </c>
      <c r="J693" s="10" t="s">
        <v>892</v>
      </c>
      <c r="K693" t="str">
        <f>HYPERLINK("http://www8.mpce.mp.br/Empenhos/150501/NE/2024NE000712.pdf","2024NE000712")</f>
        <v>2024NE000712</v>
      </c>
      <c r="L693" s="13">
        <v>19378.669999999998</v>
      </c>
      <c r="M693" t="s">
        <v>263</v>
      </c>
      <c r="N693">
        <v>3888247000184</v>
      </c>
    </row>
    <row r="694" spans="1:14" ht="89.25" x14ac:dyDescent="0.25">
      <c r="A694" s="12" t="s">
        <v>9</v>
      </c>
      <c r="B694" s="2" t="s">
        <v>803</v>
      </c>
      <c r="C694" s="3" t="str">
        <f>HYPERLINK("https://transparencia-area-fim.mpce.mp.br/#/consulta/processo/pastadigital/092024000273934","09.2024.00027393-4")</f>
        <v>09.2024.00027393-4</v>
      </c>
      <c r="D694" s="4">
        <v>45537</v>
      </c>
      <c r="E694" s="16" t="s">
        <v>741</v>
      </c>
      <c r="F694" s="2" t="s">
        <v>373</v>
      </c>
      <c r="G694" s="5" t="str">
        <f>HYPERLINK("http://www8.mpce.mp.br/Empenhos/150001/NE/2024NE002300.pdf","2024NE002300")</f>
        <v>2024NE002300</v>
      </c>
      <c r="H694" s="6">
        <v>4500</v>
      </c>
      <c r="I694" s="7" t="s">
        <v>464</v>
      </c>
      <c r="J694" s="10" t="s">
        <v>893</v>
      </c>
      <c r="K694" t="str">
        <f>HYPERLINK("http://www8.mpce.mp.br/Empenhos/150501/NE/2024NE000713.pdf","2024NE000713")</f>
        <v>2024NE000713</v>
      </c>
      <c r="L694">
        <v>300</v>
      </c>
      <c r="M694" t="s">
        <v>257</v>
      </c>
      <c r="N694">
        <v>33757000181</v>
      </c>
    </row>
    <row r="695" spans="1:14" ht="63.75" x14ac:dyDescent="0.25">
      <c r="A695" s="12" t="s">
        <v>9</v>
      </c>
      <c r="B695" s="2" t="s">
        <v>729</v>
      </c>
      <c r="C695" s="3" t="str">
        <f>HYPERLINK("https://transparencia-area-fim.mpce.mp.br/#/consulta/processo/pastadigital/092024000273578","09.2024.00027357-8")</f>
        <v>09.2024.00027357-8</v>
      </c>
      <c r="D695" s="4">
        <v>45539</v>
      </c>
      <c r="E695" s="16" t="s">
        <v>742</v>
      </c>
      <c r="F695" s="2" t="s">
        <v>373</v>
      </c>
      <c r="G695" s="5" t="str">
        <f>HYPERLINK("http://www8.mpce.mp.br/Empenhos/150001/NE/2024NE002362.pdf","2024NE002362")</f>
        <v>2024NE002362</v>
      </c>
      <c r="H695" s="6">
        <v>2500</v>
      </c>
      <c r="I695" s="7" t="s">
        <v>743</v>
      </c>
      <c r="J695" s="10" t="s">
        <v>894</v>
      </c>
      <c r="K695" t="str">
        <f>HYPERLINK("http://www8.mpce.mp.br/Empenhos/150501/NE/2024NE000714.pdf","2024NE000714")</f>
        <v>2024NE000714</v>
      </c>
      <c r="L695" s="13">
        <v>65600</v>
      </c>
      <c r="M695" t="s">
        <v>113</v>
      </c>
      <c r="N695">
        <v>2593165000140</v>
      </c>
    </row>
    <row r="696" spans="1:14" ht="38.25" x14ac:dyDescent="0.25">
      <c r="A696" s="12" t="s">
        <v>34</v>
      </c>
      <c r="B696" s="2" t="s">
        <v>744</v>
      </c>
      <c r="C696" s="3" t="str">
        <f>HYPERLINK("https://transparencia-area-fim.mpce.mp.br/#/consulta/processo/pastadigital/092024000285820","09.2024.00028582-0")</f>
        <v>09.2024.00028582-0</v>
      </c>
      <c r="D696" s="4">
        <v>45545</v>
      </c>
      <c r="E696" s="16" t="s">
        <v>745</v>
      </c>
      <c r="F696" s="2" t="s">
        <v>739</v>
      </c>
      <c r="G696" s="5" t="str">
        <f>HYPERLINK("http://www8.mpce.mp.br/Empenhos/150001/NE/2024NE002370.pdf","2024NE002370")</f>
        <v>2024NE002370</v>
      </c>
      <c r="H696" s="6">
        <v>3125</v>
      </c>
      <c r="I696" s="7" t="s">
        <v>746</v>
      </c>
      <c r="J696" s="10" t="s">
        <v>895</v>
      </c>
      <c r="K696" t="str">
        <f t="shared" ref="K696:K705" si="9">HYPERLINK("http://www8.mpce.mp.br/Empenhos/150501/NE/2024NE000716.pdf","2024NE000716")</f>
        <v>2024NE000716</v>
      </c>
      <c r="L696" s="13">
        <v>104500</v>
      </c>
      <c r="M696" t="s">
        <v>72</v>
      </c>
      <c r="N696">
        <v>82845322000104</v>
      </c>
    </row>
    <row r="697" spans="1:14" ht="51" x14ac:dyDescent="0.25">
      <c r="A697" s="12" t="s">
        <v>34</v>
      </c>
      <c r="B697" s="2" t="s">
        <v>747</v>
      </c>
      <c r="C697" s="3" t="str">
        <f>HYPERLINK("https://transparencia-area-fim.mpce.mp.br/#/consulta/processo/pastadigital/092024000150466","09.2024.00015046-6")</f>
        <v>09.2024.00015046-6</v>
      </c>
      <c r="D697" s="4">
        <v>45546</v>
      </c>
      <c r="E697" s="16" t="s">
        <v>748</v>
      </c>
      <c r="F697" s="2" t="s">
        <v>749</v>
      </c>
      <c r="G697" s="5" t="str">
        <f>HYPERLINK("http://www8.mpce.mp.br/Empenhos/150001/NE/2024NE002412.pdf","2024NE002412")</f>
        <v>2024NE002412</v>
      </c>
      <c r="H697" s="6">
        <v>1575.2</v>
      </c>
      <c r="I697" s="7" t="s">
        <v>750</v>
      </c>
      <c r="J697" s="10" t="s">
        <v>896</v>
      </c>
      <c r="K697" t="str">
        <f t="shared" si="9"/>
        <v>2024NE000716</v>
      </c>
      <c r="L697" s="13">
        <v>104500</v>
      </c>
      <c r="M697" t="s">
        <v>72</v>
      </c>
      <c r="N697">
        <v>82845322000104</v>
      </c>
    </row>
    <row r="698" spans="1:14" ht="285" x14ac:dyDescent="0.25">
      <c r="A698" s="12" t="s">
        <v>9</v>
      </c>
      <c r="B698" s="2" t="s">
        <v>729</v>
      </c>
      <c r="C698" s="3" t="str">
        <f>HYPERLINK("https://transparencia-area-fim.mpce.mp.br/#/consulta/processo/pastadigital/092024000031194","09.2024.00003119-4")</f>
        <v>09.2024.00003119-4</v>
      </c>
      <c r="D698" s="4">
        <v>45547</v>
      </c>
      <c r="E698" s="17" t="str">
        <f>HYPERLINK("https://www8.mpce.mp.br/Empenhos/150001/Objeto/35-2024.pdf","EMPENHO REF. SERVIÇOS EDUCACIONAIS REFERENTES A 1/2 BOLSA A 10 MEMBROS E 01 SERVIDOR DO MPCE, EM CURSO DE ESPECIALIZAÇÃO EM DIREITO PENAL E DIREITO PROCESSUAL PENAL,"&amp;" POR MEIO DE INEXIGIBILIDADE DE LICITAÇÃO, CONF. CONTRATO 035/2024, REF. SET, OUT, NOV E DEZ/2024, POR ESTIMATIVA.MEMBROS/SERVIDORES BOLSISTAS MPCE:1. ANDERSON VINÍCIUS "&amp;"GOMES NOGUEIRA, PROMOTOR DE JUSTIÇA;2. BRUNO DE ALBUQUERQUE BARRETO, PROMOTOR DE JUSTIÇA;3. EDNA LOPES COSTA DA MATA, PROCURADORA DE JUSTIÇA;4. FRANCISCO GOMES CÂMARA, PROMOTOR DE JUSTIÇA;5. FERNANDA GOMES"&amp;" MARINHO DE ANDRADE, PROMOTORA DE JUSTIÇA;6. JOÃO BATISTA FONTENELE NETO, PROMOTOR DE JUSTIÇA;7. JOANA NOGUEIRA BEZERRA, PROMOTORA DE JUSTIÇA;8. LIA COELHO DE ALBUQUERQUE, PROMOTORA DE JUSTIÇA;9. MAYARA MENEZES MUNIZ PINHEIRO, PROMOTORA DE JUSTIÇA"&amp;";10.NAIANA PEREZ BARROSO DANTAS PROMOTORA DE JUSTIÇA;11.SID SILVA DE FREITAS, SERVIDOR.VALOR UNITÁRIO MENSAL (1/2 BOLSA): R$ 225,00.VALOR TOTAL MENSAL: R$ 2.475,00.")</f>
        <v>EMPENHO REF. SERVIÇOS EDUCACIONAIS REFERENTES A 1/2 BOLSA A 10 MEMBROS E 01 SERVIDOR DO MPCE, EM CURSO DE ESPECIALIZAÇÃO EM DIREITO PENAL E DIREITO PROCESSUAL PENAL, POR MEIO DE INEXIGIBILIDADE DE LICITAÇÃO, CONF. CONTRATO 035/2024, REF. SET, OUT, NOV E DEZ/2024, POR ESTIMATIVA.MEMBROS/SERVIDORES BOLSISTAS MPCE:1. ANDERSON VINÍCIUS GOMES NOGUEIRA, PROMOTOR DE JUSTIÇA;2. BRUNO DE ALBUQUERQUE BARRETO, PROMOTOR DE JUSTIÇA;3. EDNA LOPES COSTA DA MATA, PROCURADORA DE JUSTIÇA;4. FRANCISCO GOMES CÂMARA, PROMOTOR DE JUSTIÇA;5. FERNANDA GOMES MARINHO DE ANDRADE, PROMOTORA DE JUSTIÇA;6. JOÃO BATISTA FONTENELE NETO, PROMOTOR DE JUSTIÇA;7. JOANA NOGUEIRA BEZERRA, PROMOTORA DE JUSTIÇA;8. LIA COELHO DE ALBUQUERQUE, PROMOTORA DE JUSTIÇA;9. MAYARA MENEZES MUNIZ PINHEIRO, PROMOTORA DE JUSTIÇA;10.NAIANA PEREZ BARROSO DANTAS PROMOTORA DE JUSTIÇA;11.SID SILVA DE FREITAS, SERVIDOR.VALOR UNITÁRIO MENSAL (1/2 BOLSA): R$ 225,00.VALOR TOTAL MENSAL: R$ 2.475,00.</v>
      </c>
      <c r="F698" s="2" t="s">
        <v>373</v>
      </c>
      <c r="G698" s="5" t="str">
        <f>HYPERLINK("http://www8.mpce.mp.br/Empenhos/150001/NE/2024NE002456.pdf","2024NE002456")</f>
        <v>2024NE002456</v>
      </c>
      <c r="H698" s="6">
        <v>9900</v>
      </c>
      <c r="I698" s="7" t="s">
        <v>751</v>
      </c>
      <c r="J698" s="10" t="s">
        <v>897</v>
      </c>
      <c r="K698" t="str">
        <f t="shared" si="9"/>
        <v>2024NE000716</v>
      </c>
      <c r="L698" s="13">
        <v>104500</v>
      </c>
      <c r="M698" t="s">
        <v>72</v>
      </c>
      <c r="N698">
        <v>82845322000104</v>
      </c>
    </row>
    <row r="699" spans="1:14" ht="76.5" x14ac:dyDescent="0.25">
      <c r="A699" s="12" t="s">
        <v>34</v>
      </c>
      <c r="B699" s="2" t="s">
        <v>752</v>
      </c>
      <c r="C699" s="3" t="str">
        <f>HYPERLINK("https://transparencia-area-fim.mpce.mp.br/#/consulta/processo/pastadigital/092024000202427","09.2024.00020242-7")</f>
        <v>09.2024.00020242-7</v>
      </c>
      <c r="D699" s="4">
        <v>45548</v>
      </c>
      <c r="E699" s="16" t="s">
        <v>753</v>
      </c>
      <c r="F699" s="2" t="s">
        <v>584</v>
      </c>
      <c r="G699" s="5" t="str">
        <f>HYPERLINK("http://www8.mpce.mp.br/Empenhos/150001/NE/2024NE002458.pdf","2024NE002458")</f>
        <v>2024NE002458</v>
      </c>
      <c r="H699" s="6">
        <v>29400</v>
      </c>
      <c r="I699" s="7" t="s">
        <v>754</v>
      </c>
      <c r="J699" s="10" t="s">
        <v>898</v>
      </c>
      <c r="K699" t="str">
        <f t="shared" si="9"/>
        <v>2024NE000716</v>
      </c>
      <c r="L699" s="13">
        <v>104500</v>
      </c>
      <c r="M699" t="s">
        <v>72</v>
      </c>
      <c r="N699">
        <v>82845322000104</v>
      </c>
    </row>
    <row r="700" spans="1:14" ht="102" x14ac:dyDescent="0.25">
      <c r="A700" s="12" t="s">
        <v>9</v>
      </c>
      <c r="B700" s="2" t="s">
        <v>729</v>
      </c>
      <c r="C700" s="3" t="str">
        <f>HYPERLINK("https://transparencia-area-fim.mpce.mp.br/#/consulta/processo/pastadigital/092024000258733","09.2024.00025873-3")</f>
        <v>09.2024.00025873-3</v>
      </c>
      <c r="D700" s="4">
        <v>45548</v>
      </c>
      <c r="E700" s="16" t="s">
        <v>755</v>
      </c>
      <c r="F700" s="2" t="s">
        <v>373</v>
      </c>
      <c r="G700" s="5" t="str">
        <f>HYPERLINK("http://www8.mpce.mp.br/Empenhos/150001/NE/2024NE002463.pdf","2024NE002463")</f>
        <v>2024NE002463</v>
      </c>
      <c r="H700" s="6">
        <v>3380</v>
      </c>
      <c r="I700" s="7" t="s">
        <v>756</v>
      </c>
      <c r="J700" s="10" t="s">
        <v>899</v>
      </c>
      <c r="K700" t="str">
        <f t="shared" si="9"/>
        <v>2024NE000716</v>
      </c>
      <c r="L700" s="13">
        <v>104500</v>
      </c>
      <c r="M700" t="s">
        <v>72</v>
      </c>
      <c r="N700">
        <v>82845322000104</v>
      </c>
    </row>
    <row r="701" spans="1:14" ht="89.25" x14ac:dyDescent="0.25">
      <c r="A701" s="12" t="s">
        <v>34</v>
      </c>
      <c r="B701" s="2" t="s">
        <v>726</v>
      </c>
      <c r="C701" s="3" t="str">
        <f>HYPERLINK("https://transparencia-area-fim.mpce.mp.br/#/consulta/processo/pastadigital/092024000291387","09.2024.00029138-7")</f>
        <v>09.2024.00029138-7</v>
      </c>
      <c r="D701" s="4">
        <v>45554</v>
      </c>
      <c r="E701" s="16" t="s">
        <v>804</v>
      </c>
      <c r="F701" s="2" t="s">
        <v>584</v>
      </c>
      <c r="G701" s="5" t="str">
        <f>HYPERLINK("http://www8.mpce.mp.br/Empenhos/150001/NE/2024NE002506.pdf","2024NE002506")</f>
        <v>2024NE002506</v>
      </c>
      <c r="H701" s="6">
        <v>3420</v>
      </c>
      <c r="I701" s="7" t="s">
        <v>805</v>
      </c>
      <c r="J701" s="10" t="s">
        <v>900</v>
      </c>
      <c r="K701" t="str">
        <f t="shared" si="9"/>
        <v>2024NE000716</v>
      </c>
      <c r="L701" s="13">
        <v>104500</v>
      </c>
      <c r="M701" t="s">
        <v>72</v>
      </c>
      <c r="N701">
        <v>82845322000104</v>
      </c>
    </row>
    <row r="702" spans="1:14" ht="89.25" x14ac:dyDescent="0.25">
      <c r="A702" s="12" t="s">
        <v>9</v>
      </c>
      <c r="B702" s="2" t="s">
        <v>729</v>
      </c>
      <c r="C702" s="3" t="str">
        <f>HYPERLINK("https://transparencia-area-fim.mpce.mp.br/#/consulta/processo/pastadigital/092024000239336","09.2024.00023933-6")</f>
        <v>09.2024.00023933-6</v>
      </c>
      <c r="D702" s="4">
        <v>45555</v>
      </c>
      <c r="E702" s="16" t="s">
        <v>806</v>
      </c>
      <c r="F702" s="2" t="s">
        <v>373</v>
      </c>
      <c r="G702" s="5" t="str">
        <f>HYPERLINK("http://www8.mpce.mp.br/Empenhos/150001/NE/2024NE002513.pdf","2024NE002513")</f>
        <v>2024NE002513</v>
      </c>
      <c r="H702" s="6">
        <v>2850</v>
      </c>
      <c r="I702" s="7" t="s">
        <v>807</v>
      </c>
      <c r="J702" s="10" t="s">
        <v>901</v>
      </c>
      <c r="K702" t="str">
        <f t="shared" si="9"/>
        <v>2024NE000716</v>
      </c>
      <c r="L702" s="13">
        <v>104500</v>
      </c>
      <c r="M702" t="s">
        <v>72</v>
      </c>
      <c r="N702">
        <v>82845322000104</v>
      </c>
    </row>
    <row r="703" spans="1:14" ht="114.75" x14ac:dyDescent="0.25">
      <c r="A703" s="12" t="s">
        <v>9</v>
      </c>
      <c r="B703" s="2" t="s">
        <v>729</v>
      </c>
      <c r="C703" s="3" t="str">
        <f>HYPERLINK("https://transparencia-area-fim.mpce.mp.br/#/consulta/processo/pastadigital/092024000309439","09.2024.00030943-9")</f>
        <v>09.2024.00030943-9</v>
      </c>
      <c r="D703" s="4">
        <v>45558</v>
      </c>
      <c r="E703" s="16" t="s">
        <v>808</v>
      </c>
      <c r="F703" s="2" t="s">
        <v>373</v>
      </c>
      <c r="G703" s="5" t="str">
        <f>HYPERLINK("http://www8.mpce.mp.br/Empenhos/150001/NE/2024NE002526.pdf","2024NE002526")</f>
        <v>2024NE002526</v>
      </c>
      <c r="H703" s="6">
        <v>5780</v>
      </c>
      <c r="I703" s="7" t="s">
        <v>809</v>
      </c>
      <c r="J703" s="10" t="s">
        <v>902</v>
      </c>
      <c r="K703" t="str">
        <f t="shared" si="9"/>
        <v>2024NE000716</v>
      </c>
      <c r="L703" s="13">
        <v>104500</v>
      </c>
      <c r="M703" t="s">
        <v>72</v>
      </c>
      <c r="N703">
        <v>82845322000104</v>
      </c>
    </row>
    <row r="704" spans="1:14" ht="114.75" x14ac:dyDescent="0.25">
      <c r="A704" s="12" t="s">
        <v>9</v>
      </c>
      <c r="B704" s="2" t="s">
        <v>729</v>
      </c>
      <c r="C704" s="3" t="str">
        <f>HYPERLINK("https://transparencia-area-fim.mpce.mp.br/#/consulta/processo/pastadigital/092024000254170","09.2024.00025417-0")</f>
        <v>09.2024.00025417-0</v>
      </c>
      <c r="D704" s="4">
        <v>45560</v>
      </c>
      <c r="E704" s="16" t="s">
        <v>810</v>
      </c>
      <c r="F704" s="2" t="s">
        <v>373</v>
      </c>
      <c r="G704" s="5" t="str">
        <f>HYPERLINK("http://www8.mpce.mp.br/Empenhos/150001/NE/2024NE002574.pdf","2024NE002574")</f>
        <v>2024NE002574</v>
      </c>
      <c r="H704" s="6">
        <v>4380</v>
      </c>
      <c r="I704" s="7" t="s">
        <v>807</v>
      </c>
      <c r="J704" s="10" t="s">
        <v>901</v>
      </c>
      <c r="K704" t="str">
        <f t="shared" si="9"/>
        <v>2024NE000716</v>
      </c>
      <c r="L704" s="13">
        <v>104500</v>
      </c>
      <c r="M704" t="s">
        <v>72</v>
      </c>
      <c r="N704">
        <v>82845322000104</v>
      </c>
    </row>
    <row r="705" spans="1:14" ht="76.5" x14ac:dyDescent="0.25">
      <c r="A705" s="12" t="s">
        <v>9</v>
      </c>
      <c r="B705" s="2" t="s">
        <v>938</v>
      </c>
      <c r="C705" s="3" t="str">
        <f>HYPERLINK("https://transparencia-area-fim.mpce.mp.br/#/consulta/processo/pastadigital/092023000042465","09.2023.00004246-5")</f>
        <v>09.2023.00004246-5</v>
      </c>
      <c r="D705" s="4">
        <v>45583</v>
      </c>
      <c r="E705" s="16" t="str">
        <f>HYPERLINK("https://www8.mpce.mp.br/Empenhos/150001/Objeto/38-2024.pdf","LICENÇA DE SOFTWARE DE INTEGRAÇÃO E ANÁLISE DE DADOS(LICENÇA CASEBOARD E PROFESSIONAL, CONFORME CONTRATO 038/2024 E PARA ATENDER AO CONVÊNIO 936903/2022, ETAPA /FASE 3.2, CELEBRADO ENTRE FDD E O MP_CE- MODERNIZAÇÃO E AMPLIAÇÃO DO GAESF.")</f>
        <v>LICENÇA DE SOFTWARE DE INTEGRAÇÃO E ANÁLISE DE DADOS(LICENÇA CASEBOARD E PROFESSIONAL, CONFORME CONTRATO 038/2024 E PARA ATENDER AO CONVÊNIO 936903/2022, ETAPA /FASE 3.2, CELEBRADO ENTRE FDD E O MP_CE- MODERNIZAÇÃO E AMPLIAÇÃO DO GAESF.</v>
      </c>
      <c r="F705" s="2" t="s">
        <v>926</v>
      </c>
      <c r="G705" s="5" t="str">
        <f>HYPERLINK("http://www8.mpce.mp.br/Empenhos/150001/NE/2024NE002604.pdf","2024NE002604")</f>
        <v>2024NE002604</v>
      </c>
      <c r="H705" s="6">
        <v>167000</v>
      </c>
      <c r="I705" s="7" t="s">
        <v>939</v>
      </c>
      <c r="J705" s="10" t="s">
        <v>983</v>
      </c>
      <c r="K705" t="str">
        <f t="shared" si="9"/>
        <v>2024NE000716</v>
      </c>
      <c r="L705" s="13">
        <v>104500</v>
      </c>
      <c r="M705" t="s">
        <v>72</v>
      </c>
      <c r="N705">
        <v>82845322000104</v>
      </c>
    </row>
    <row r="706" spans="1:14" ht="38.25" x14ac:dyDescent="0.25">
      <c r="A706" s="12" t="s">
        <v>9</v>
      </c>
      <c r="B706" s="2" t="s">
        <v>80</v>
      </c>
      <c r="C706" s="3" t="str">
        <f>HYPERLINK("https://transparencia-area-fim.mpce.mp.br/#/consulta/processo/pastadigital/0920240003198960","09.2024.000319896-0")</f>
        <v>09.2024.000319896-0</v>
      </c>
      <c r="D706" s="4">
        <v>45562</v>
      </c>
      <c r="E706" s="16" t="s">
        <v>811</v>
      </c>
      <c r="F706" s="2" t="s">
        <v>59</v>
      </c>
      <c r="G706" s="5" t="str">
        <f>HYPERLINK("http://www8.mpce.mp.br/Empenhos/150001/NE/2024NE002607.pdf","2024NE002607")</f>
        <v>2024NE002607</v>
      </c>
      <c r="H706" s="6">
        <v>117.84</v>
      </c>
      <c r="I706" s="7" t="s">
        <v>92</v>
      </c>
      <c r="J706" s="10" t="s">
        <v>93</v>
      </c>
      <c r="K706" t="str">
        <f t="shared" ref="K706:K715" si="10">HYPERLINK("http://www8.mpce.mp.br/Empenhos/150501/NE/2024NE000717.pdf","2024NE000717")</f>
        <v>2024NE000717</v>
      </c>
      <c r="L706" s="13">
        <v>44000</v>
      </c>
      <c r="M706" t="s">
        <v>72</v>
      </c>
      <c r="N706">
        <v>82845322000104</v>
      </c>
    </row>
    <row r="707" spans="1:14" ht="38.25" x14ac:dyDescent="0.25">
      <c r="A707" s="12" t="s">
        <v>9</v>
      </c>
      <c r="B707" s="2" t="s">
        <v>812</v>
      </c>
      <c r="C707" s="3" t="str">
        <f>HYPERLINK("https://transparencia-area-fim.mpce.mp.br/#/consulta/processo/pastadigital/092024000320055","09.2024.00032005-5")</f>
        <v>09.2024.00032005-5</v>
      </c>
      <c r="D707" s="4">
        <v>45562</v>
      </c>
      <c r="E707" s="16" t="s">
        <v>813</v>
      </c>
      <c r="F707" s="2" t="s">
        <v>59</v>
      </c>
      <c r="G707" s="5" t="str">
        <f>HYPERLINK("http://www8.mpce.mp.br/Empenhos/150001/NE/2024NE002608.pdf","2024NE002608")</f>
        <v>2024NE002608</v>
      </c>
      <c r="H707" s="6">
        <v>450</v>
      </c>
      <c r="I707" s="7" t="s">
        <v>107</v>
      </c>
      <c r="J707" s="10" t="s">
        <v>108</v>
      </c>
      <c r="K707" t="str">
        <f t="shared" si="10"/>
        <v>2024NE000717</v>
      </c>
      <c r="L707" s="13">
        <v>44000</v>
      </c>
      <c r="M707" t="s">
        <v>72</v>
      </c>
      <c r="N707">
        <v>82845322000104</v>
      </c>
    </row>
    <row r="708" spans="1:14" ht="38.25" x14ac:dyDescent="0.25">
      <c r="A708" s="12" t="s">
        <v>9</v>
      </c>
      <c r="B708" s="2" t="s">
        <v>812</v>
      </c>
      <c r="C708" s="3" t="str">
        <f>HYPERLINK("https://transparencia-area-fim.mpce.mp.br/#/consulta/processo/pastadigital/092024000320011","09.2024.00032001-1")</f>
        <v>09.2024.00032001-1</v>
      </c>
      <c r="D708" s="4">
        <v>45562</v>
      </c>
      <c r="E708" s="16" t="s">
        <v>814</v>
      </c>
      <c r="F708" s="2" t="s">
        <v>59</v>
      </c>
      <c r="G708" s="5" t="str">
        <f>HYPERLINK("http://www8.mpce.mp.br/Empenhos/150001/NE/2024NE002609.pdf","2024NE002609")</f>
        <v>2024NE002609</v>
      </c>
      <c r="H708" s="6">
        <v>536.66999999999996</v>
      </c>
      <c r="I708" s="7" t="s">
        <v>95</v>
      </c>
      <c r="J708" s="10" t="s">
        <v>96</v>
      </c>
      <c r="K708" t="str">
        <f t="shared" si="10"/>
        <v>2024NE000717</v>
      </c>
      <c r="L708" s="13">
        <v>44000</v>
      </c>
      <c r="M708" t="s">
        <v>72</v>
      </c>
      <c r="N708">
        <v>82845322000104</v>
      </c>
    </row>
    <row r="709" spans="1:14" ht="38.25" x14ac:dyDescent="0.25">
      <c r="A709" s="12" t="s">
        <v>9</v>
      </c>
      <c r="B709" s="2" t="s">
        <v>80</v>
      </c>
      <c r="C709" s="3" t="str">
        <f>HYPERLINK("https://transparencia-area-fim.mpce.mp.br/#/consulta/processo/pastadigital/092024000320122","09.2024.00032012-2")</f>
        <v>09.2024.00032012-2</v>
      </c>
      <c r="D709" s="4">
        <v>45562</v>
      </c>
      <c r="E709" s="16" t="s">
        <v>815</v>
      </c>
      <c r="F709" s="2" t="s">
        <v>59</v>
      </c>
      <c r="G709" s="5" t="str">
        <f>HYPERLINK("http://www8.mpce.mp.br/Empenhos/150001/NE/2024NE002610.pdf","2024NE002610")</f>
        <v>2024NE002610</v>
      </c>
      <c r="H709" s="6">
        <v>60.78</v>
      </c>
      <c r="I709" s="7" t="s">
        <v>85</v>
      </c>
      <c r="J709" s="10" t="s">
        <v>86</v>
      </c>
      <c r="K709" t="str">
        <f t="shared" si="10"/>
        <v>2024NE000717</v>
      </c>
      <c r="L709" s="13">
        <v>44000</v>
      </c>
      <c r="M709" t="s">
        <v>72</v>
      </c>
      <c r="N709">
        <v>82845322000104</v>
      </c>
    </row>
    <row r="710" spans="1:14" ht="25.5" x14ac:dyDescent="0.25">
      <c r="A710" s="12" t="s">
        <v>9</v>
      </c>
      <c r="B710" s="2" t="s">
        <v>816</v>
      </c>
      <c r="C710" s="3" t="str">
        <f>HYPERLINK("https://transparencia-area-fim.mpce.mp.br/#/consulta/processo/pastadigital/092024000320177","09.2024.00032017-7")</f>
        <v>09.2024.00032017-7</v>
      </c>
      <c r="D710" s="4">
        <v>45562</v>
      </c>
      <c r="E710" s="16" t="s">
        <v>817</v>
      </c>
      <c r="F710" s="2" t="s">
        <v>59</v>
      </c>
      <c r="G710" s="5" t="str">
        <f>HYPERLINK("http://www8.mpce.mp.br/Empenhos/150001/NE/2024NE002611.pdf","2024NE002611")</f>
        <v>2024NE002611</v>
      </c>
      <c r="H710" s="6">
        <v>373.86</v>
      </c>
      <c r="I710" s="7" t="s">
        <v>78</v>
      </c>
      <c r="J710" s="10" t="s">
        <v>79</v>
      </c>
      <c r="K710" t="str">
        <f t="shared" si="10"/>
        <v>2024NE000717</v>
      </c>
      <c r="L710" s="13">
        <v>44000</v>
      </c>
      <c r="M710" t="s">
        <v>72</v>
      </c>
      <c r="N710">
        <v>82845322000104</v>
      </c>
    </row>
    <row r="711" spans="1:14" ht="38.25" x14ac:dyDescent="0.25">
      <c r="A711" s="12" t="s">
        <v>9</v>
      </c>
      <c r="B711" s="2" t="s">
        <v>80</v>
      </c>
      <c r="C711" s="3" t="str">
        <f>HYPERLINK("https://transparencia-area-fim.mpce.mp.br/#/consulta/processo/pastadigital/092024000320233","09.2024.00032023-3")</f>
        <v>09.2024.00032023-3</v>
      </c>
      <c r="D711" s="4">
        <v>45562</v>
      </c>
      <c r="E711" s="16" t="s">
        <v>818</v>
      </c>
      <c r="F711" s="2" t="s">
        <v>59</v>
      </c>
      <c r="G711" s="5" t="str">
        <f>HYPERLINK("http://www8.mpce.mp.br/Empenhos/150001/NE/2024NE002612.pdf","2024NE002612")</f>
        <v>2024NE002612</v>
      </c>
      <c r="H711" s="6">
        <v>278.85000000000002</v>
      </c>
      <c r="I711" s="7" t="s">
        <v>75</v>
      </c>
      <c r="J711" s="10" t="s">
        <v>76</v>
      </c>
      <c r="K711" t="str">
        <f t="shared" si="10"/>
        <v>2024NE000717</v>
      </c>
      <c r="L711" s="13">
        <v>44000</v>
      </c>
      <c r="M711" t="s">
        <v>72</v>
      </c>
      <c r="N711">
        <v>82845322000104</v>
      </c>
    </row>
    <row r="712" spans="1:14" ht="25.5" x14ac:dyDescent="0.25">
      <c r="A712" s="12" t="s">
        <v>9</v>
      </c>
      <c r="B712" s="2" t="s">
        <v>429</v>
      </c>
      <c r="C712" s="3" t="str">
        <f>HYPERLINK("https://transparencia-area-fim.mpce.mp.br/#/consulta/processo/pastadigital/092024000320255","09.2024.00032025-5")</f>
        <v>09.2024.00032025-5</v>
      </c>
      <c r="D712" s="4">
        <v>45565</v>
      </c>
      <c r="E712" s="16" t="s">
        <v>819</v>
      </c>
      <c r="F712" s="2" t="s">
        <v>59</v>
      </c>
      <c r="G712" s="5" t="str">
        <f>HYPERLINK("http://www8.mpce.mp.br/Empenhos/150001/NE/2024NE002629.pdf","2024NE002629")</f>
        <v>2024NE002629</v>
      </c>
      <c r="H712" s="6">
        <v>900</v>
      </c>
      <c r="I712" s="7" t="s">
        <v>69</v>
      </c>
      <c r="J712" s="10" t="s">
        <v>70</v>
      </c>
      <c r="K712" t="str">
        <f t="shared" si="10"/>
        <v>2024NE000717</v>
      </c>
      <c r="L712" s="13">
        <v>44000</v>
      </c>
      <c r="M712" t="s">
        <v>72</v>
      </c>
      <c r="N712">
        <v>82845322000104</v>
      </c>
    </row>
    <row r="713" spans="1:14" ht="25.5" x14ac:dyDescent="0.25">
      <c r="A713" s="12" t="s">
        <v>9</v>
      </c>
      <c r="B713" s="2" t="s">
        <v>80</v>
      </c>
      <c r="C713" s="3" t="str">
        <f>HYPERLINK("https://transparencia-area-fim.mpce.mp.br/#/consulta/processo/pastadigital/092024000320322","09.2024.00032032-2")</f>
        <v>09.2024.00032032-2</v>
      </c>
      <c r="D713" s="4">
        <v>45565</v>
      </c>
      <c r="E713" s="16" t="s">
        <v>820</v>
      </c>
      <c r="F713" s="2" t="s">
        <v>59</v>
      </c>
      <c r="G713" s="5" t="str">
        <f>HYPERLINK("http://www8.mpce.mp.br/Empenhos/150001/NE/2024NE002630.pdf","2024NE002630")</f>
        <v>2024NE002630</v>
      </c>
      <c r="H713" s="6">
        <v>188.73</v>
      </c>
      <c r="I713" s="7" t="s">
        <v>66</v>
      </c>
      <c r="J713" s="10" t="s">
        <v>67</v>
      </c>
      <c r="K713" t="str">
        <f t="shared" si="10"/>
        <v>2024NE000717</v>
      </c>
      <c r="L713" s="13">
        <v>44000</v>
      </c>
      <c r="M713" t="s">
        <v>72</v>
      </c>
      <c r="N713">
        <v>82845322000104</v>
      </c>
    </row>
    <row r="714" spans="1:14" ht="38.25" x14ac:dyDescent="0.25">
      <c r="A714" s="12" t="s">
        <v>9</v>
      </c>
      <c r="B714" s="2" t="s">
        <v>80</v>
      </c>
      <c r="C714" s="3" t="str">
        <f>HYPERLINK("https://transparencia-area-fim.mpce.mp.br/#/consulta/processo/pastadigital/092024000320399","09.2024.00032039-9")</f>
        <v>09.2024.00032039-9</v>
      </c>
      <c r="D714" s="4">
        <v>45565</v>
      </c>
      <c r="E714" s="16" t="s">
        <v>820</v>
      </c>
      <c r="F714" s="2" t="s">
        <v>59</v>
      </c>
      <c r="G714" s="5" t="str">
        <f>HYPERLINK("http://www8.mpce.mp.br/Empenhos/150001/NE/2024NE002631.pdf","2024NE002631")</f>
        <v>2024NE002631</v>
      </c>
      <c r="H714" s="6">
        <v>150</v>
      </c>
      <c r="I714" s="7" t="s">
        <v>63</v>
      </c>
      <c r="J714" s="10" t="s">
        <v>64</v>
      </c>
      <c r="K714" t="str">
        <f t="shared" si="10"/>
        <v>2024NE000717</v>
      </c>
      <c r="L714" s="13">
        <v>44000</v>
      </c>
      <c r="M714" t="s">
        <v>72</v>
      </c>
      <c r="N714">
        <v>82845322000104</v>
      </c>
    </row>
    <row r="715" spans="1:14" ht="25.5" x14ac:dyDescent="0.25">
      <c r="A715" s="12" t="s">
        <v>9</v>
      </c>
      <c r="B715" s="2" t="s">
        <v>80</v>
      </c>
      <c r="C715" s="3" t="str">
        <f>HYPERLINK("https://transparencia-area-fim.mpce.mp.br/#/consulta/processo/pastadigital/092024000320433","09.2024.00032043-3")</f>
        <v>09.2024.00032043-3</v>
      </c>
      <c r="D715" s="4">
        <v>45565</v>
      </c>
      <c r="E715" s="16" t="s">
        <v>820</v>
      </c>
      <c r="F715" s="2" t="s">
        <v>59</v>
      </c>
      <c r="G715" s="5" t="str">
        <f>HYPERLINK("http://www8.mpce.mp.br/Empenhos/150001/NE/2024NE002633.pdf","2024NE002633")</f>
        <v>2024NE002633</v>
      </c>
      <c r="H715" s="6">
        <v>600</v>
      </c>
      <c r="I715" s="7" t="s">
        <v>32</v>
      </c>
      <c r="J715" s="10" t="s">
        <v>33</v>
      </c>
      <c r="K715" t="str">
        <f t="shared" si="10"/>
        <v>2024NE000717</v>
      </c>
      <c r="L715" s="13">
        <v>44000</v>
      </c>
      <c r="M715" t="s">
        <v>72</v>
      </c>
      <c r="N715">
        <v>82845322000104</v>
      </c>
    </row>
    <row r="716" spans="1:14" ht="38.25" x14ac:dyDescent="0.25">
      <c r="A716" s="12" t="s">
        <v>9</v>
      </c>
      <c r="B716" s="2" t="s">
        <v>80</v>
      </c>
      <c r="C716" s="3" t="str">
        <f>HYPERLINK("https://transparencia-area-fim.mpce.mp.br/#/consulta/processo/pastadigital/092024000320477","09.2024.00032047-7")</f>
        <v>09.2024.00032047-7</v>
      </c>
      <c r="D716" s="4">
        <v>45565</v>
      </c>
      <c r="E716" s="16" t="s">
        <v>820</v>
      </c>
      <c r="F716" s="2" t="s">
        <v>59</v>
      </c>
      <c r="G716" s="5" t="str">
        <f>HYPERLINK("http://www8.mpce.mp.br/Empenhos/150001/NE/2024NE002635.pdf","2024NE002635")</f>
        <v>2024NE002635</v>
      </c>
      <c r="H716" s="6">
        <v>735.48</v>
      </c>
      <c r="I716" s="7" t="s">
        <v>27</v>
      </c>
      <c r="J716" s="10" t="s">
        <v>28</v>
      </c>
      <c r="K716" t="str">
        <f>HYPERLINK("http://www8.mpce.mp.br/Empenhos/150501/NE/2024NE000718.pdf","2024NE000718")</f>
        <v>2024NE000718</v>
      </c>
      <c r="L716" s="13">
        <v>1087.81</v>
      </c>
      <c r="M716" t="s">
        <v>234</v>
      </c>
      <c r="N716">
        <v>29417319000107</v>
      </c>
    </row>
    <row r="717" spans="1:14" ht="25.5" x14ac:dyDescent="0.25">
      <c r="A717" s="12" t="s">
        <v>9</v>
      </c>
      <c r="B717" s="2" t="s">
        <v>80</v>
      </c>
      <c r="C717" s="3" t="str">
        <f>HYPERLINK("https://transparencia-area-fim.mpce.mp.br/#/consulta/processo/pastadigital/092024000320555","09.2024.00032055-5")</f>
        <v>09.2024.00032055-5</v>
      </c>
      <c r="D717" s="4">
        <v>45565</v>
      </c>
      <c r="E717" s="16" t="s">
        <v>820</v>
      </c>
      <c r="F717" s="2" t="s">
        <v>59</v>
      </c>
      <c r="G717" s="5" t="str">
        <f>HYPERLINK("http://www8.mpce.mp.br/Empenhos/150001/NE/2024NE002641.pdf","2024NE002641")</f>
        <v>2024NE002641</v>
      </c>
      <c r="H717" s="6">
        <v>226.05</v>
      </c>
      <c r="I717" s="7" t="s">
        <v>14</v>
      </c>
      <c r="J717" s="10" t="s">
        <v>15</v>
      </c>
      <c r="K717" t="str">
        <f>HYPERLINK("http://www8.mpce.mp.br/Empenhos/150501/NE/2024NE000720.pdf","2024NE000720")</f>
        <v>2024NE000720</v>
      </c>
      <c r="L717" s="13">
        <v>45127.360000000001</v>
      </c>
      <c r="M717" t="s">
        <v>244</v>
      </c>
      <c r="N717">
        <v>3773788000167</v>
      </c>
    </row>
    <row r="718" spans="1:14" ht="38.25" x14ac:dyDescent="0.25">
      <c r="A718" s="12" t="s">
        <v>9</v>
      </c>
      <c r="B718" s="2" t="s">
        <v>429</v>
      </c>
      <c r="C718" s="3" t="str">
        <f>HYPERLINK("https://transparencia-area-fim.mpce.mp.br/#/consulta/processo/pastadigital/092024000320600","09.2024.00032060-0")</f>
        <v>09.2024.00032060-0</v>
      </c>
      <c r="D718" s="4">
        <v>45565</v>
      </c>
      <c r="E718" s="16" t="s">
        <v>820</v>
      </c>
      <c r="F718" s="2" t="s">
        <v>59</v>
      </c>
      <c r="G718" s="5" t="str">
        <f>HYPERLINK("http://www8.mpce.mp.br/Empenhos/150001/NE/2024NE002642.pdf","2024NE002642")</f>
        <v>2024NE002642</v>
      </c>
      <c r="H718" s="6">
        <v>615</v>
      </c>
      <c r="I718" s="7" t="s">
        <v>19</v>
      </c>
      <c r="J718" s="10" t="s">
        <v>20</v>
      </c>
      <c r="K718" t="str">
        <f>HYPERLINK("http://www8.mpce.mp.br/Empenhos/150501/NE/2024NE000722.pdf","2024NE000722")</f>
        <v>2024NE000722</v>
      </c>
      <c r="L718">
        <v>152.32</v>
      </c>
      <c r="M718" t="s">
        <v>158</v>
      </c>
      <c r="N718">
        <v>5569807000163</v>
      </c>
    </row>
    <row r="719" spans="1:14" ht="25.5" x14ac:dyDescent="0.25">
      <c r="A719" s="12" t="s">
        <v>9</v>
      </c>
      <c r="B719" s="2" t="s">
        <v>429</v>
      </c>
      <c r="C719" s="3" t="str">
        <f>HYPERLINK("https://transparencia-area-fim.mpce.mp.br/#/consulta/processo/pastadigital/092024000320655","09.2024.00032065-5")</f>
        <v>09.2024.00032065-5</v>
      </c>
      <c r="D719" s="4">
        <v>45565</v>
      </c>
      <c r="E719" s="16" t="s">
        <v>820</v>
      </c>
      <c r="F719" s="2" t="s">
        <v>59</v>
      </c>
      <c r="G719" s="5" t="str">
        <f>HYPERLINK("http://www8.mpce.mp.br/Empenhos/150001/NE/2024NE002644.pdf","2024NE002644")</f>
        <v>2024NE002644</v>
      </c>
      <c r="H719" s="6">
        <v>419.16</v>
      </c>
      <c r="I719" s="7" t="s">
        <v>101</v>
      </c>
      <c r="J719" s="10" t="s">
        <v>102</v>
      </c>
      <c r="K719" t="str">
        <f>HYPERLINK("http://www8.mpce.mp.br/Empenhos/150501/NE/2024NE000723.pdf","2024NE000723")</f>
        <v>2024NE000723</v>
      </c>
      <c r="L719" s="13">
        <v>2619.0100000000002</v>
      </c>
      <c r="M719" t="s">
        <v>158</v>
      </c>
      <c r="N719">
        <v>5569807000163</v>
      </c>
    </row>
    <row r="720" spans="1:14" ht="25.5" x14ac:dyDescent="0.25">
      <c r="A720" s="12" t="s">
        <v>9</v>
      </c>
      <c r="B720" s="2" t="s">
        <v>429</v>
      </c>
      <c r="C720" s="3" t="str">
        <f>HYPERLINK("https://transparencia-area-fim.mpce.mp.br/#/consulta/processo/pastadigital/092024000322097","09.2024.00032209-7")</f>
        <v>09.2024.00032209-7</v>
      </c>
      <c r="D720" s="4">
        <v>45565</v>
      </c>
      <c r="E720" s="16" t="s">
        <v>820</v>
      </c>
      <c r="F720" s="2" t="s">
        <v>59</v>
      </c>
      <c r="G720" s="5" t="str">
        <f>HYPERLINK("http://www8.mpce.mp.br/Empenhos/150001/NE/2024NE002655.pdf","2024NE002655")</f>
        <v>2024NE002655</v>
      </c>
      <c r="H720" s="6">
        <v>9000</v>
      </c>
      <c r="I720" s="7" t="s">
        <v>98</v>
      </c>
      <c r="J720" s="10" t="s">
        <v>99</v>
      </c>
      <c r="K720" t="str">
        <f>HYPERLINK("http://www8.mpce.mp.br/Empenhos/150501/NE/2024NE000724.pdf","2024NE000724")</f>
        <v>2024NE000724</v>
      </c>
      <c r="L720" s="13">
        <v>2115.4299999999998</v>
      </c>
      <c r="M720" t="s">
        <v>146</v>
      </c>
      <c r="N720">
        <v>41456187000110</v>
      </c>
    </row>
    <row r="721" spans="1:14" ht="25.5" x14ac:dyDescent="0.25">
      <c r="A721" s="12" t="s">
        <v>9</v>
      </c>
      <c r="B721" s="2" t="s">
        <v>429</v>
      </c>
      <c r="C721" s="3" t="str">
        <f>HYPERLINK("https://transparencia-area-fim.mpce.mp.br/#/consulta/processo/pastadigital/092024000217486","09.2024.00021748-6")</f>
        <v>09.2024.00021748-6</v>
      </c>
      <c r="D721" s="4">
        <v>45568</v>
      </c>
      <c r="E721" s="16" t="s">
        <v>821</v>
      </c>
      <c r="F721" s="2" t="s">
        <v>59</v>
      </c>
      <c r="G721" s="5" t="str">
        <f>HYPERLINK("http://www8.mpce.mp.br/Empenhos/150001/NE/2024NE002681.pdf","2024NE002681")</f>
        <v>2024NE002681</v>
      </c>
      <c r="H721" s="6">
        <v>50000</v>
      </c>
      <c r="I721" s="7" t="s">
        <v>104</v>
      </c>
      <c r="J721" s="10" t="s">
        <v>105</v>
      </c>
      <c r="K721" t="str">
        <f>HYPERLINK("http://www8.mpce.mp.br/Empenhos/150501/NE/2024NE000727.pdf","2024NE000727")</f>
        <v>2024NE000727</v>
      </c>
      <c r="L721" s="13">
        <v>21689.95</v>
      </c>
      <c r="M721" t="s">
        <v>673</v>
      </c>
      <c r="N721">
        <v>52677115000119</v>
      </c>
    </row>
    <row r="722" spans="1:14" ht="114.75" x14ac:dyDescent="0.25">
      <c r="A722" s="12" t="s">
        <v>9</v>
      </c>
      <c r="B722" s="2" t="s">
        <v>729</v>
      </c>
      <c r="C722" s="3" t="str">
        <f>HYPERLINK("https://transparencia-area-fim.mpce.mp.br/#/consulta/processo/pastadigital/092024000254170","09.2024.00025417-0")</f>
        <v>09.2024.00025417-0</v>
      </c>
      <c r="D722" s="4">
        <v>45569</v>
      </c>
      <c r="E722" s="16" t="s">
        <v>822</v>
      </c>
      <c r="F722" s="2" t="s">
        <v>373</v>
      </c>
      <c r="G722" s="5" t="str">
        <f>HYPERLINK("http://www8.mpce.mp.br/Empenhos/150001/NE/2024NE002729.pdf","2024NE002729")</f>
        <v>2024NE002729</v>
      </c>
      <c r="H722" s="6">
        <v>4380</v>
      </c>
      <c r="I722" s="7" t="s">
        <v>807</v>
      </c>
      <c r="J722" s="10" t="s">
        <v>901</v>
      </c>
      <c r="K722" t="str">
        <f>HYPERLINK("http://www8.mpce.mp.br/Empenhos/150501/NE/2024NE000729.pdf","2024NE000729")</f>
        <v>2024NE000729</v>
      </c>
      <c r="L722" s="13">
        <v>31000</v>
      </c>
      <c r="M722" t="s">
        <v>110</v>
      </c>
      <c r="N722">
        <v>7955535000165</v>
      </c>
    </row>
    <row r="723" spans="1:14" ht="102" x14ac:dyDescent="0.25">
      <c r="A723" s="12" t="s">
        <v>9</v>
      </c>
      <c r="B723" s="2" t="s">
        <v>823</v>
      </c>
      <c r="C723" s="3" t="str">
        <f>HYPERLINK("https://transparencia-area-fim.mpce.mp.br/#/consulta/processo/pastadigital/092024000312555","09.2024.00031255-5")</f>
        <v>09.2024.00031255-5</v>
      </c>
      <c r="D723" s="4">
        <v>45572</v>
      </c>
      <c r="E723" s="16" t="s">
        <v>824</v>
      </c>
      <c r="F723" s="2" t="s">
        <v>373</v>
      </c>
      <c r="G723" s="5" t="str">
        <f>HYPERLINK("http://www8.mpce.mp.br/Empenhos/150001/NE/2024NE002746.pdf","2024NE002746")</f>
        <v>2024NE002746</v>
      </c>
      <c r="H723" s="6">
        <v>4890</v>
      </c>
      <c r="I723" s="7" t="s">
        <v>464</v>
      </c>
      <c r="J723" s="10" t="s">
        <v>893</v>
      </c>
      <c r="K723" t="str">
        <f>HYPERLINK("http://www8.mpce.mp.br/Empenhos/150501/NE/2024NE000731.pdf","2024NE000731")</f>
        <v>2024NE000731</v>
      </c>
      <c r="L723" s="13">
        <v>72584.44</v>
      </c>
      <c r="M723" t="s">
        <v>120</v>
      </c>
      <c r="N723">
        <v>41548652000142</v>
      </c>
    </row>
    <row r="724" spans="1:14" ht="76.5" x14ac:dyDescent="0.25">
      <c r="A724" s="12" t="s">
        <v>9</v>
      </c>
      <c r="B724" s="2" t="s">
        <v>729</v>
      </c>
      <c r="C724" s="3" t="str">
        <f>HYPERLINK("https://transparencia-area-fim.mpce.mp.br/#/consulta/processo/pastadigital/092024000293996","09.2024.00029399-6")</f>
        <v>09.2024.00029399-6</v>
      </c>
      <c r="D724" s="4">
        <v>45573</v>
      </c>
      <c r="E724" s="16" t="s">
        <v>825</v>
      </c>
      <c r="F724" s="2" t="s">
        <v>373</v>
      </c>
      <c r="G724" s="5" t="str">
        <f>HYPERLINK("http://www8.mpce.mp.br/Empenhos/150001/NE/2024NE002774.pdf","2024NE002774")</f>
        <v>2024NE002774</v>
      </c>
      <c r="H724" s="6">
        <v>12300</v>
      </c>
      <c r="I724" s="7" t="s">
        <v>826</v>
      </c>
      <c r="J724" s="10" t="s">
        <v>903</v>
      </c>
      <c r="K724" t="str">
        <f>HYPERLINK("http://www8.mpce.mp.br/Empenhos/150501/NE/2024NE000739.pdf","2024NE000739")</f>
        <v>2024NE000739</v>
      </c>
      <c r="L724" s="13">
        <v>123286.67</v>
      </c>
      <c r="M724" t="s">
        <v>244</v>
      </c>
      <c r="N724">
        <v>3773788000167</v>
      </c>
    </row>
    <row r="725" spans="1:14" ht="63.75" x14ac:dyDescent="0.25">
      <c r="A725" s="12" t="s">
        <v>34</v>
      </c>
      <c r="B725" s="2" t="s">
        <v>752</v>
      </c>
      <c r="C725" s="3" t="str">
        <f>HYPERLINK("https://transparencia-area-fim.mpce.mp.br/#/consulta/processo/pastadigital/092024000202471","09.2024.00020247-1")</f>
        <v>09.2024.00020247-1</v>
      </c>
      <c r="D725" s="4">
        <v>45575</v>
      </c>
      <c r="E725" s="16" t="s">
        <v>827</v>
      </c>
      <c r="F725" s="2" t="s">
        <v>81</v>
      </c>
      <c r="G725" s="5" t="str">
        <f>HYPERLINK("http://www8.mpce.mp.br/Empenhos/150001/NE/2024NE002798.pdf","2024NE002798")</f>
        <v>2024NE002798</v>
      </c>
      <c r="H725" s="6">
        <v>29500</v>
      </c>
      <c r="I725" s="7" t="s">
        <v>754</v>
      </c>
      <c r="J725" s="10" t="s">
        <v>898</v>
      </c>
      <c r="K725" t="str">
        <f>HYPERLINK("http://www8.mpce.mp.br/Empenhos/150501/NE/2024NE000739.pdf","2024NE000739")</f>
        <v>2024NE000739</v>
      </c>
      <c r="L725" s="13">
        <v>123286.67</v>
      </c>
      <c r="M725" t="s">
        <v>244</v>
      </c>
      <c r="N725">
        <v>3773788000167</v>
      </c>
    </row>
    <row r="726" spans="1:14" ht="51" x14ac:dyDescent="0.25">
      <c r="A726" s="12" t="s">
        <v>34</v>
      </c>
      <c r="B726" s="2" t="s">
        <v>828</v>
      </c>
      <c r="C726" s="3" t="str">
        <f>HYPERLINK("https://transparencia-area-fim.mpce.mp.br/#/consulta/processo/pastadigital/092020000071437","09.2020.00007143-7")</f>
        <v>09.2020.00007143-7</v>
      </c>
      <c r="D726" s="4">
        <v>45576</v>
      </c>
      <c r="E726" s="16" t="str">
        <f>HYPERLINK("https://www8.mpce.mp.br/Empenhos/150001/Objeto/23-2020.pdf","EMPENHO REF. PRODUTOS E DE DIVERSOS SERVIÇOS DOS CORREIOS POR MEIO DOS CANAIS DE ATENDIMENTO DISPONIBILIZADOS, CONF. CONTRATO 023/2020, REF. OUT/2024, POR ESTIMATIVA.")</f>
        <v>EMPENHO REF. PRODUTOS E DE DIVERSOS SERVIÇOS DOS CORREIOS POR MEIO DOS CANAIS DE ATENDIMENTO DISPONIBILIZADOS, CONF. CONTRATO 023/2020, REF. OUT/2024, POR ESTIMATIVA.</v>
      </c>
      <c r="F726" s="2" t="s">
        <v>88</v>
      </c>
      <c r="G726" s="5" t="str">
        <f>HYPERLINK("http://www8.mpce.mp.br/Empenhos/150001/NE/2024NE002818.pdf","2024NE002818")</f>
        <v>2024NE002818</v>
      </c>
      <c r="H726" s="6">
        <v>20000</v>
      </c>
      <c r="I726" s="7" t="s">
        <v>89</v>
      </c>
      <c r="J726" s="10" t="s">
        <v>90</v>
      </c>
      <c r="K726" t="str">
        <f>HYPERLINK("http://www8.mpce.mp.br/Empenhos/150501/NE/2024NE000739.pdf","2024NE000739")</f>
        <v>2024NE000739</v>
      </c>
      <c r="L726" s="13">
        <v>123286.67</v>
      </c>
      <c r="M726" t="s">
        <v>244</v>
      </c>
      <c r="N726">
        <v>3773788000167</v>
      </c>
    </row>
    <row r="727" spans="1:14" ht="89.25" x14ac:dyDescent="0.25">
      <c r="A727" s="12" t="s">
        <v>9</v>
      </c>
      <c r="B727" s="2" t="s">
        <v>940</v>
      </c>
      <c r="C727" s="3" t="str">
        <f>HYPERLINK("https://transparencia-area-fim.mpce.mp.br/#/consulta/processo/pastadigital/092024000310080","09.2024.00031008-0")</f>
        <v>09.2024.00031008-0</v>
      </c>
      <c r="D727" s="4">
        <v>45587</v>
      </c>
      <c r="E727" s="16" t="s">
        <v>941</v>
      </c>
      <c r="F727" s="2" t="s">
        <v>942</v>
      </c>
      <c r="G727" s="5" t="str">
        <f>HYPERLINK("http://www8.mpce.mp.br/Empenhos/150001/NE/2024NE002932.pdf","2024NE002932")</f>
        <v>2024NE002932</v>
      </c>
      <c r="H727" s="6">
        <v>7200</v>
      </c>
      <c r="I727" s="7" t="s">
        <v>943</v>
      </c>
      <c r="J727" s="10" t="s">
        <v>984</v>
      </c>
      <c r="K727" t="str">
        <f>HYPERLINK("http://www8.mpce.mp.br/Empenhos/150501/NE/2024NE000765.pdf","2024NE000765")</f>
        <v>2024NE000765</v>
      </c>
      <c r="L727" s="13">
        <v>5725.06</v>
      </c>
      <c r="M727" t="s">
        <v>151</v>
      </c>
      <c r="N727">
        <v>22705562000173</v>
      </c>
    </row>
    <row r="728" spans="1:14" ht="51" x14ac:dyDescent="0.25">
      <c r="A728" s="12" t="s">
        <v>34</v>
      </c>
      <c r="B728" s="2" t="s">
        <v>944</v>
      </c>
      <c r="C728" s="3" t="str">
        <f>HYPERLINK("https://transparencia-area-fim.mpce.mp.br/#/consulta/processo/pastadigital/092024000242263","09.2024.00024226-3")</f>
        <v>09.2024.00024226-3</v>
      </c>
      <c r="D728" s="4">
        <v>45586</v>
      </c>
      <c r="E728" s="16" t="str">
        <f>HYPERLINK("https://www8.mpce.mp.br/Empenhos/150001/Objeto/77-2024.pdf","EMPENHO REF. SERVIÇOS TÉCNICOS ESPECIALIZADOS, VISANDO A IMPLEMENTAÇÃO DA SOLUÇÃO DE TI  PLATAFORMA WHATSAPP BUSINESS, CONF. CONTRATO 077/2024, REF. SET/2024 (PRO RATA).")</f>
        <v>EMPENHO REF. SERVIÇOS TÉCNICOS ESPECIALIZADOS, VISANDO A IMPLEMENTAÇÃO DA SOLUÇÃO DE TI  PLATAFORMA WHATSAPP BUSINESS, CONF. CONTRATO 077/2024, REF. SET/2024 (PRO RATA).</v>
      </c>
      <c r="F728" s="2" t="s">
        <v>250</v>
      </c>
      <c r="G728" s="5" t="str">
        <f>HYPERLINK("http://www8.mpce.mp.br/Empenhos/150001/NE/2024NE002934.pdf","2024NE002934")</f>
        <v>2024NE002934</v>
      </c>
      <c r="H728" s="6">
        <v>3200.54</v>
      </c>
      <c r="I728" s="7" t="s">
        <v>945</v>
      </c>
      <c r="J728" s="10" t="s">
        <v>985</v>
      </c>
      <c r="K728" t="str">
        <f>HYPERLINK("http://www8.mpce.mp.br/Empenhos/150501/NE/2024NE000771.pdf","2024NE000771")</f>
        <v>2024NE000771</v>
      </c>
      <c r="L728" s="13">
        <v>256704</v>
      </c>
      <c r="M728" t="s">
        <v>244</v>
      </c>
      <c r="N728">
        <v>3773788000167</v>
      </c>
    </row>
    <row r="729" spans="1:14" ht="51" x14ac:dyDescent="0.25">
      <c r="A729" s="12" t="s">
        <v>34</v>
      </c>
      <c r="B729" s="2" t="s">
        <v>944</v>
      </c>
      <c r="C729" s="3" t="str">
        <f>HYPERLINK("https://transparencia-area-fim.mpce.mp.br/#/consulta/processo/pastadigital/092024000242263","09.2024.00024226-3")</f>
        <v>09.2024.00024226-3</v>
      </c>
      <c r="D729" s="4">
        <v>45586</v>
      </c>
      <c r="E729" s="16" t="str">
        <f>HYPERLINK("https://www8.mpce.mp.br/Empenhos/150001/Objeto/77-2024.pdf","EMPENHO REF. SERVIÇOS TÉCNICOS ESPECIALIZADOS, VISANDO A IMPLEMENTAÇÃO DA SOLUÇÃO DE TI  PLATAFORMA WHATSAPP BUSINESS, CONF. CONTRATO 077/2024, REF. OUT/2024, POR ESTIMATIVA.")</f>
        <v>EMPENHO REF. SERVIÇOS TÉCNICOS ESPECIALIZADOS, VISANDO A IMPLEMENTAÇÃO DA SOLUÇÃO DE TI  PLATAFORMA WHATSAPP BUSINESS, CONF. CONTRATO 077/2024, REF. OUT/2024, POR ESTIMATIVA.</v>
      </c>
      <c r="F729" s="2" t="s">
        <v>250</v>
      </c>
      <c r="G729" s="5" t="str">
        <f>HYPERLINK("http://www8.mpce.mp.br/Empenhos/150001/NE/2024NE002936.pdf","2024NE002936")</f>
        <v>2024NE002936</v>
      </c>
      <c r="H729" s="6">
        <v>10724.93</v>
      </c>
      <c r="I729" s="7" t="s">
        <v>945</v>
      </c>
      <c r="J729" s="10" t="s">
        <v>985</v>
      </c>
      <c r="K729" t="str">
        <f>HYPERLINK("http://www8.mpce.mp.br/Empenhos/150501/NE/2024NE000771.pdf","2024NE000771")</f>
        <v>2024NE000771</v>
      </c>
      <c r="L729" s="13">
        <v>256704</v>
      </c>
      <c r="M729" t="s">
        <v>244</v>
      </c>
      <c r="N729">
        <v>3773788000167</v>
      </c>
    </row>
    <row r="730" spans="1:14" ht="114.75" x14ac:dyDescent="0.25">
      <c r="A730" s="12" t="s">
        <v>9</v>
      </c>
      <c r="B730" s="2" t="s">
        <v>946</v>
      </c>
      <c r="C730" s="3" t="str">
        <f>HYPERLINK("https://transparencia-area-fim.mpce.mp.br/#/consulta/processo/pastadigital/092024000321332","09.2024.00032133-2")</f>
        <v>09.2024.00032133-2</v>
      </c>
      <c r="D730" s="4">
        <v>45586</v>
      </c>
      <c r="E730" s="16" t="s">
        <v>947</v>
      </c>
      <c r="F730" s="2" t="s">
        <v>373</v>
      </c>
      <c r="G730" s="5" t="str">
        <f>HYPERLINK("http://www8.mpce.mp.br/Empenhos/150001/NE/2024NE002937.pdf","2024NE002937")</f>
        <v>2024NE002937</v>
      </c>
      <c r="H730" s="6">
        <v>4190</v>
      </c>
      <c r="I730" s="7" t="s">
        <v>948</v>
      </c>
      <c r="J730" s="10" t="s">
        <v>986</v>
      </c>
      <c r="K730" t="str">
        <f>HYPERLINK("http://www8.mpce.mp.br/Empenhos/150501/NE/2024NE000771.pdf","2024NE000771")</f>
        <v>2024NE000771</v>
      </c>
      <c r="L730" s="13">
        <v>256704</v>
      </c>
      <c r="M730" t="s">
        <v>244</v>
      </c>
      <c r="N730">
        <v>3773788000167</v>
      </c>
    </row>
    <row r="731" spans="1:14" ht="90" x14ac:dyDescent="0.25">
      <c r="A731" s="12" t="s">
        <v>9</v>
      </c>
      <c r="B731" s="2" t="s">
        <v>10</v>
      </c>
      <c r="C731" s="3" t="str">
        <f>HYPERLINK("https://transparencia-area-fim.mpce.mp.br/#/consulta/processo/pastadigital/092023000041044","09.2023.00004104-4")</f>
        <v>09.2023.00004104-4</v>
      </c>
      <c r="D731" s="4">
        <v>45586</v>
      </c>
      <c r="E731" s="17" t="str">
        <f>HYPERLINK("https://www8.mpce.mp.br/Empenhos/150001/Objeto/39-2023.pdf","PARCELAS DE CURSO DE ESPECIALIZAÇÃO EM OPERAÇÕES TRIBUTÁRIAS NO FORMATO EM EAD, PARA MEMBROS E SERVIDORES DO GAESF(GRUPO DE ATUAÇÃO ESPECIAL DE COMBATE A SONEGAÇÃO FISCAL) DO MP E DEMAIS PROMOTORIAS. "&amp;"CONTRATO 039/2023 E REFERE-SE A PARCELAS DE JANEIRO A DEZEMBRO DE 2024.")</f>
        <v>PARCELAS DE CURSO DE ESPECIALIZAÇÃO EM OPERAÇÕES TRIBUTÁRIAS NO FORMATO EM EAD, PARA MEMBROS E SERVIDORES DO GAESF(GRUPO DE ATUAÇÃO ESPECIAL DE COMBATE A SONEGAÇÃO FISCAL) DO MP E DEMAIS PROMOTORIAS. CONTRATO 039/2023 E REFERE-SE A PARCELAS DE JANEIRO A DEZEMBRO DE 2024.</v>
      </c>
      <c r="F731" s="2" t="s">
        <v>373</v>
      </c>
      <c r="G731" s="5" t="str">
        <f>HYPERLINK("http://www8.mpce.mp.br/Empenhos/150001/NE/2024NE002938.pdf","2024NE002938")</f>
        <v>2024NE002938</v>
      </c>
      <c r="H731" s="6">
        <v>144000</v>
      </c>
      <c r="I731" s="7" t="s">
        <v>949</v>
      </c>
      <c r="J731" s="10" t="s">
        <v>987</v>
      </c>
      <c r="K731" t="str">
        <f>HYPERLINK("http://www8.mpce.mp.br/Empenhos/150501/NE/2024NE000771.pdf","2024NE000771")</f>
        <v>2024NE000771</v>
      </c>
      <c r="L731" s="13">
        <v>256704</v>
      </c>
      <c r="M731" t="s">
        <v>244</v>
      </c>
      <c r="N731">
        <v>3773788000167</v>
      </c>
    </row>
    <row r="732" spans="1:14" ht="102" x14ac:dyDescent="0.25">
      <c r="A732" s="12" t="s">
        <v>9</v>
      </c>
      <c r="B732" s="2" t="s">
        <v>729</v>
      </c>
      <c r="C732" s="3" t="str">
        <f>HYPERLINK("https://transparencia-area-fim.mpce.mp.br/#/consulta/processo/pastadigital/092024000293996","09.2024.00029399-6")</f>
        <v>09.2024.00029399-6</v>
      </c>
      <c r="D732" s="4">
        <v>45587</v>
      </c>
      <c r="E732" s="16" t="s">
        <v>950</v>
      </c>
      <c r="F732" s="2" t="s">
        <v>373</v>
      </c>
      <c r="G732" s="5" t="str">
        <f>HYPERLINK("http://www8.mpce.mp.br/Empenhos/150001/NE/2024NE002948.pdf","2024NE002948")</f>
        <v>2024NE002948</v>
      </c>
      <c r="H732" s="6">
        <v>12300</v>
      </c>
      <c r="I732" s="7" t="s">
        <v>951</v>
      </c>
      <c r="J732" s="10" t="s">
        <v>988</v>
      </c>
      <c r="K732" t="str">
        <f>HYPERLINK("http://www8.mpce.mp.br/Empenhos/150501/NE/2024NE000780.pdf","2024NE000780")</f>
        <v>2024NE000780</v>
      </c>
      <c r="L732">
        <v>994.11</v>
      </c>
      <c r="M732" t="s">
        <v>681</v>
      </c>
      <c r="N732">
        <v>61198164000160</v>
      </c>
    </row>
    <row r="733" spans="1:14" ht="51" x14ac:dyDescent="0.25">
      <c r="A733" s="12" t="s">
        <v>9</v>
      </c>
      <c r="B733" s="2" t="s">
        <v>952</v>
      </c>
      <c r="C733" s="3" t="str">
        <f>HYPERLINK("https://transparencia-area-fim.mpce.mp.br/#/consulta/processo/pastadigital/092024000299290","09.2024.00029929-0")</f>
        <v>09.2024.00029929-0</v>
      </c>
      <c r="D733" s="4">
        <v>45587</v>
      </c>
      <c r="E733" s="16" t="s">
        <v>953</v>
      </c>
      <c r="F733" s="2" t="s">
        <v>373</v>
      </c>
      <c r="G733" s="5" t="str">
        <f>HYPERLINK("http://www8.mpce.mp.br/Empenhos/150001/NE/2024NE002950.pdf","2024NE002950")</f>
        <v>2024NE002950</v>
      </c>
      <c r="H733" s="6">
        <v>62000</v>
      </c>
      <c r="I733" s="7" t="s">
        <v>954</v>
      </c>
      <c r="J733" s="10" t="s">
        <v>989</v>
      </c>
      <c r="K733" t="str">
        <f>HYPERLINK("http://www8.mpce.mp.br/Empenhos/150501/NE/2024NE000792.pdf","2024NE000792")</f>
        <v>2024NE000792</v>
      </c>
      <c r="L733" s="13">
        <v>103000</v>
      </c>
      <c r="M733" t="s">
        <v>492</v>
      </c>
      <c r="N733">
        <v>15664649000184</v>
      </c>
    </row>
    <row r="734" spans="1:14" ht="63.75" x14ac:dyDescent="0.25">
      <c r="A734" s="12" t="s">
        <v>9</v>
      </c>
      <c r="B734" s="2" t="s">
        <v>729</v>
      </c>
      <c r="C734" s="3" t="str">
        <f>HYPERLINK("https://transparencia-area-fim.mpce.mp.br/#/consulta/processo/pastadigital/092024000330886","09.2024.00033088-6")</f>
        <v>09.2024.00033088-6</v>
      </c>
      <c r="D734" s="4">
        <v>45588</v>
      </c>
      <c r="E734" s="16" t="s">
        <v>955</v>
      </c>
      <c r="F734" s="2" t="s">
        <v>373</v>
      </c>
      <c r="G734" s="5" t="str">
        <f>HYPERLINK("http://www8.mpce.mp.br/Empenhos/150001/NE/2024NE002958.pdf","2024NE002958")</f>
        <v>2024NE002958</v>
      </c>
      <c r="H734" s="6">
        <v>3000</v>
      </c>
      <c r="I734" s="7" t="s">
        <v>743</v>
      </c>
      <c r="J734" s="10" t="s">
        <v>894</v>
      </c>
      <c r="K734" t="str">
        <f>HYPERLINK("http://www8.mpce.mp.br/Empenhos/150001/NE/2024NE000795.pdf","2024NE000795")</f>
        <v>2024NE000795</v>
      </c>
      <c r="L734" s="13">
        <v>60000</v>
      </c>
      <c r="M734" t="s">
        <v>89</v>
      </c>
      <c r="N734">
        <v>34028316001002</v>
      </c>
    </row>
    <row r="735" spans="1:14" ht="89.25" x14ac:dyDescent="0.25">
      <c r="A735" s="12" t="s">
        <v>9</v>
      </c>
      <c r="B735" s="2" t="s">
        <v>729</v>
      </c>
      <c r="C735" s="3" t="str">
        <f>HYPERLINK("https://transparencia-area-fim.mpce.mp.br/#/consulta/processo/pastadigital/092024000331108","09.2024.00033110-8")</f>
        <v>09.2024.00033110-8</v>
      </c>
      <c r="D735" s="4">
        <v>45588</v>
      </c>
      <c r="E735" s="16" t="s">
        <v>956</v>
      </c>
      <c r="F735" s="2" t="s">
        <v>373</v>
      </c>
      <c r="G735" s="5" t="str">
        <f>HYPERLINK("http://www8.mpce.mp.br/Empenhos/150001/NE/2024NE002959.pdf","2024NE002959")</f>
        <v>2024NE002959</v>
      </c>
      <c r="H735" s="6">
        <v>4790</v>
      </c>
      <c r="I735" s="7" t="s">
        <v>464</v>
      </c>
      <c r="J735" s="10" t="s">
        <v>893</v>
      </c>
      <c r="K735" t="str">
        <f>HYPERLINK("http://www8.mpce.mp.br/Empenhos/150501/NE/2024NE000797.pdf","2024NE000797")</f>
        <v>2024NE000797</v>
      </c>
      <c r="L735">
        <v>109.83</v>
      </c>
      <c r="M735" t="s">
        <v>144</v>
      </c>
      <c r="N735">
        <v>22588967000179</v>
      </c>
    </row>
    <row r="736" spans="1:14" ht="51" x14ac:dyDescent="0.25">
      <c r="A736" s="12" t="s">
        <v>9</v>
      </c>
      <c r="B736" s="2" t="s">
        <v>729</v>
      </c>
      <c r="C736" s="3" t="str">
        <f>HYPERLINK("https://transparencia-area-fim.mpce.mp.br/#/consulta/processo/pastadigital/092024000283710","09.2024.00028371-0")</f>
        <v>09.2024.00028371-0</v>
      </c>
      <c r="D736" s="4">
        <v>45589</v>
      </c>
      <c r="E736" s="16" t="s">
        <v>957</v>
      </c>
      <c r="F736" s="2" t="s">
        <v>373</v>
      </c>
      <c r="G736" s="5" t="str">
        <f>HYPERLINK("http://www8.mpce.mp.br/Empenhos/150001/NE/2024NE002986.pdf","2024NE002986")</f>
        <v>2024NE002986</v>
      </c>
      <c r="H736" s="6">
        <v>20000</v>
      </c>
      <c r="I736" s="7" t="s">
        <v>958</v>
      </c>
      <c r="J736" s="10" t="s">
        <v>990</v>
      </c>
      <c r="K736" t="str">
        <f>HYPERLINK("http://www8.mpce.mp.br/Empenhos/150501/NE/2024NE000798.pdf","2024NE000798")</f>
        <v>2024NE000798</v>
      </c>
      <c r="L736">
        <v>353.34</v>
      </c>
      <c r="M736" t="s">
        <v>144</v>
      </c>
      <c r="N736">
        <v>22588967000179</v>
      </c>
    </row>
    <row r="737" spans="1:14" ht="140.25" x14ac:dyDescent="0.25">
      <c r="A737" s="12" t="s">
        <v>9</v>
      </c>
      <c r="B737" s="2" t="s">
        <v>959</v>
      </c>
      <c r="C737" s="3" t="str">
        <f>HYPERLINK("https://transparencia-area-fim.mpce.mp.br/#/consulta/processo/pastadigital/092024000319248","09.2024.00031924-8")</f>
        <v>09.2024.00031924-8</v>
      </c>
      <c r="D737" s="4">
        <v>45589</v>
      </c>
      <c r="E737" s="16" t="s">
        <v>960</v>
      </c>
      <c r="F737" s="2" t="s">
        <v>373</v>
      </c>
      <c r="G737" s="5" t="str">
        <f>HYPERLINK("http://www8.mpce.mp.br/Empenhos/150001/NE/2024NE002993.pdf","2024NE002993")</f>
        <v>2024NE002993</v>
      </c>
      <c r="H737" s="6">
        <v>16950</v>
      </c>
      <c r="I737" s="7" t="s">
        <v>961</v>
      </c>
      <c r="J737" s="10" t="s">
        <v>991</v>
      </c>
      <c r="K737" t="str">
        <f>HYPERLINK("http://www8.mpce.mp.br/Empenhos/150501/NE/2024NE000799.pdf","2024NE000799")</f>
        <v>2024NE000799</v>
      </c>
      <c r="L737" s="13">
        <v>6807.76</v>
      </c>
      <c r="M737" t="s">
        <v>686</v>
      </c>
      <c r="N737">
        <v>10507664000103</v>
      </c>
    </row>
    <row r="738" spans="1:14" ht="89.25" x14ac:dyDescent="0.25">
      <c r="A738" s="12" t="s">
        <v>9</v>
      </c>
      <c r="B738" s="2" t="s">
        <v>729</v>
      </c>
      <c r="C738" s="3" t="str">
        <f>HYPERLINK("https://transparencia-area-fim.mpce.mp.br/#/consulta/processo/pastadigital/092024000319192","09.2024.00031919-2")</f>
        <v>09.2024.00031919-2</v>
      </c>
      <c r="D738" s="4">
        <v>45589</v>
      </c>
      <c r="E738" s="16" t="s">
        <v>962</v>
      </c>
      <c r="F738" s="2" t="s">
        <v>373</v>
      </c>
      <c r="G738" s="5" t="str">
        <f>HYPERLINK("http://www8.mpce.mp.br/Empenhos/150001/NE/2024NE002996.pdf","2024NE002996")</f>
        <v>2024NE002996</v>
      </c>
      <c r="H738" s="6">
        <v>17388</v>
      </c>
      <c r="I738" s="7" t="s">
        <v>963</v>
      </c>
      <c r="J738" s="10" t="s">
        <v>992</v>
      </c>
      <c r="K738" t="str">
        <f>HYPERLINK("http://www8.mpce.mp.br/Empenhos/150501/NE/2024NE000800.pdf","2024NE000800")</f>
        <v>2024NE000800</v>
      </c>
      <c r="L738">
        <v>152.32</v>
      </c>
      <c r="M738" t="s">
        <v>158</v>
      </c>
      <c r="N738">
        <v>5569807000163</v>
      </c>
    </row>
    <row r="739" spans="1:14" ht="51" x14ac:dyDescent="0.25">
      <c r="A739" s="12" t="s">
        <v>9</v>
      </c>
      <c r="B739" s="2" t="s">
        <v>589</v>
      </c>
      <c r="C739" s="3" t="str">
        <f>HYPERLINK("https://transparencia-area-fim.mpce.mp.br/#/consulta/processo/pastadigital/092024000355988","09.2024.00035598-8")</f>
        <v>09.2024.00035598-8</v>
      </c>
      <c r="D739" s="4">
        <v>45597</v>
      </c>
      <c r="E739" s="16" t="s">
        <v>964</v>
      </c>
      <c r="F739" s="2" t="s">
        <v>296</v>
      </c>
      <c r="G739" s="5" t="str">
        <f>HYPERLINK("http://www8.mpce.mp.br/Empenhos/150001/NE/2024NE003076.pdf","2024NE003076")</f>
        <v>2024NE003076</v>
      </c>
      <c r="H739" s="6">
        <v>400000</v>
      </c>
      <c r="I739" s="7" t="s">
        <v>297</v>
      </c>
      <c r="J739" s="10" t="s">
        <v>832</v>
      </c>
      <c r="K739" t="str">
        <f>HYPERLINK("http://www8.mpce.mp.br/Empenhos/150501/NE/2024NE000801.pdf","2024NE000801")</f>
        <v>2024NE000801</v>
      </c>
      <c r="L739">
        <v>152.32</v>
      </c>
      <c r="M739" t="s">
        <v>158</v>
      </c>
      <c r="N739">
        <v>5569807000163</v>
      </c>
    </row>
    <row r="740" spans="1:14" ht="51" x14ac:dyDescent="0.25">
      <c r="A740" s="12" t="s">
        <v>9</v>
      </c>
      <c r="B740" s="2" t="s">
        <v>589</v>
      </c>
      <c r="C740" s="3" t="str">
        <f>HYPERLINK("https://transparencia-area-fim.mpce.mp.br/#/consulta/processo/pastadigital/092024000355899","09.2024.00035589-9")</f>
        <v>09.2024.00035589-9</v>
      </c>
      <c r="D740" s="4">
        <v>45597</v>
      </c>
      <c r="E740" s="16" t="s">
        <v>965</v>
      </c>
      <c r="F740" s="2" t="s">
        <v>296</v>
      </c>
      <c r="G740" s="5" t="str">
        <f>HYPERLINK("http://www8.mpce.mp.br/Empenhos/150001/NE/2024NE003078.pdf","2024NE003078")</f>
        <v>2024NE003078</v>
      </c>
      <c r="H740" s="6">
        <v>200000</v>
      </c>
      <c r="I740" s="7" t="s">
        <v>297</v>
      </c>
      <c r="J740" s="10" t="s">
        <v>832</v>
      </c>
      <c r="K740" t="str">
        <f>HYPERLINK("http://www8.mpce.mp.br/Empenhos/150501/NE/2024NE000802.pdf","2024NE000802")</f>
        <v>2024NE000802</v>
      </c>
      <c r="L740" s="13">
        <v>2619.0100000000002</v>
      </c>
      <c r="M740" t="s">
        <v>158</v>
      </c>
      <c r="N740">
        <v>5569807000163</v>
      </c>
    </row>
    <row r="741" spans="1:14" ht="76.5" x14ac:dyDescent="0.25">
      <c r="A741" s="12" t="s">
        <v>9</v>
      </c>
      <c r="B741" s="2" t="s">
        <v>729</v>
      </c>
      <c r="C741" s="3" t="str">
        <f>HYPERLINK("https://transparencia-area-fim.mpce.mp.br/#/consulta/processo/pastadigital/092024000333683","09.2024.00033368-3")</f>
        <v>09.2024.00033368-3</v>
      </c>
      <c r="D741" s="4">
        <v>45601</v>
      </c>
      <c r="E741" s="16" t="str">
        <f>HYPERLINK("https://www8.mpce.mp.br/Empenhos/150001/Objeto/90-2024.pdf","EMPENHO REF. CAPACITAÇÃO EM GERENCIAMENTO DE PROJETOS PARA ALCANCE DE RESULTADOS ESTRATÉGICOS - METODOLOGIA ÁGIL, PARA ATÉ 40 PARTICIPANTES, COM CARGA HORÁRIA DE 28H, POR INEXIGIBILIDADE DE LICITAÇÃO, CONF. CONTRATO 090/2024, REF. 2024, POR ESTIMATIVA.")</f>
        <v>EMPENHO REF. CAPACITAÇÃO EM GERENCIAMENTO DE PROJETOS PARA ALCANCE DE RESULTADOS ESTRATÉGICOS - METODOLOGIA ÁGIL, PARA ATÉ 40 PARTICIPANTES, COM CARGA HORÁRIA DE 28H, POR INEXIGIBILIDADE DE LICITAÇÃO, CONF. CONTRATO 090/2024, REF. 2024, POR ESTIMATIVA.</v>
      </c>
      <c r="F741" s="2" t="s">
        <v>373</v>
      </c>
      <c r="G741" s="5" t="str">
        <f>HYPERLINK("http://www8.mpce.mp.br/Empenhos/150001/NE/2024NE003126.pdf","2024NE003126")</f>
        <v>2024NE003126</v>
      </c>
      <c r="H741" s="6">
        <v>32652</v>
      </c>
      <c r="I741" s="7" t="s">
        <v>966</v>
      </c>
      <c r="J741" s="10" t="s">
        <v>993</v>
      </c>
      <c r="K741" t="str">
        <f>HYPERLINK("http://www8.mpce.mp.br/Empenhos/150501/NE/2024NE000803.pdf","2024NE000803")</f>
        <v>2024NE000803</v>
      </c>
      <c r="L741">
        <v>635.9</v>
      </c>
      <c r="M741" t="s">
        <v>232</v>
      </c>
      <c r="N741">
        <v>18904432391</v>
      </c>
    </row>
    <row r="742" spans="1:14" ht="63.75" x14ac:dyDescent="0.25">
      <c r="A742" s="12" t="s">
        <v>9</v>
      </c>
      <c r="B742" s="2" t="s">
        <v>729</v>
      </c>
      <c r="C742" s="3" t="str">
        <f>HYPERLINK("https://transparencia-area-fim.mpce.mp.br/#/consulta/processo/pastadigital/092024000117590","09.2024.00011759-0")</f>
        <v>09.2024.00011759-0</v>
      </c>
      <c r="D742" s="4">
        <v>45601</v>
      </c>
      <c r="E742" s="16" t="s">
        <v>967</v>
      </c>
      <c r="F742" s="2" t="s">
        <v>373</v>
      </c>
      <c r="G742" s="5" t="str">
        <f>HYPERLINK("http://www8.mpce.mp.br/Empenhos/150001/NE/2024NE003127.pdf","2024NE003127")</f>
        <v>2024NE003127</v>
      </c>
      <c r="H742" s="6">
        <v>7000</v>
      </c>
      <c r="I742" s="7" t="s">
        <v>706</v>
      </c>
      <c r="J742" s="10" t="s">
        <v>883</v>
      </c>
      <c r="K742" t="str">
        <f>HYPERLINK("http://www8.mpce.mp.br/Empenhos/150501/NE/2024NE000804.pdf","2024NE000804")</f>
        <v>2024NE000804</v>
      </c>
      <c r="L742" s="13">
        <v>9700</v>
      </c>
      <c r="M742" t="s">
        <v>688</v>
      </c>
      <c r="N742">
        <v>32797434000150</v>
      </c>
    </row>
    <row r="743" spans="1:14" ht="76.5" x14ac:dyDescent="0.25">
      <c r="A743" s="12" t="s">
        <v>9</v>
      </c>
      <c r="B743" s="2" t="s">
        <v>968</v>
      </c>
      <c r="C743" s="3" t="str">
        <f>HYPERLINK("https://transparencia-area-fim.mpce.mp.br/#/consulta/processo/pastadigital/092024000348321","09.2024.00034832-1")</f>
        <v>09.2024.00034832-1</v>
      </c>
      <c r="D743" s="4">
        <v>45607</v>
      </c>
      <c r="E743" s="16" t="s">
        <v>969</v>
      </c>
      <c r="F743" s="2" t="s">
        <v>373</v>
      </c>
      <c r="G743" s="5" t="str">
        <f>HYPERLINK("http://www8.mpce.mp.br/Empenhos/150001/NE/2024NE003184.pdf","2024NE003184")</f>
        <v>2024NE003184</v>
      </c>
      <c r="H743" s="6">
        <v>4790</v>
      </c>
      <c r="I743" s="7" t="s">
        <v>948</v>
      </c>
      <c r="J743" s="10" t="s">
        <v>986</v>
      </c>
      <c r="K743" t="str">
        <f>HYPERLINK("http://www8.mpce.mp.br/Empenhos/150501/NE/2024NE000805.pdf","2024NE000805")</f>
        <v>2024NE000805</v>
      </c>
      <c r="L743">
        <v>159.05000000000001</v>
      </c>
      <c r="M743" t="s">
        <v>140</v>
      </c>
      <c r="N743">
        <v>15473585000134</v>
      </c>
    </row>
    <row r="744" spans="1:14" ht="51" x14ac:dyDescent="0.25">
      <c r="A744" s="12" t="s">
        <v>9</v>
      </c>
      <c r="B744" s="2" t="s">
        <v>797</v>
      </c>
      <c r="C744" s="3" t="str">
        <f>HYPERLINK("https://transparencia-area-fim.mpce.mp.br/#/consulta/processo/pastadigital/092024000189230","09.2024.00018923-0")</f>
        <v>09.2024.00018923-0</v>
      </c>
      <c r="D744" s="4">
        <v>45610</v>
      </c>
      <c r="E744" s="16" t="str">
        <f>HYPERLINK("https://www8.mpce.mp.br/Empenhos/150001/Objeto/84-2024.pdf","EMPENHO REF. FORNECIMENTO DE ENERGIA ELÉTRICA, EM BAIXA TENSÃO, A DIVERSAS UNIDADES DO MPCE, CONF. CONTRATO 084/2024, REF. NOV E DEZ/2024, POR ESTIMATIVA.")</f>
        <v>EMPENHO REF. FORNECIMENTO DE ENERGIA ELÉTRICA, EM BAIXA TENSÃO, A DIVERSAS UNIDADES DO MPCE, CONF. CONTRATO 084/2024, REF. NOV E DEZ/2024, POR ESTIMATIVA.</v>
      </c>
      <c r="F744" s="2" t="s">
        <v>296</v>
      </c>
      <c r="G744" s="5" t="str">
        <f>HYPERLINK("http://www8.mpce.mp.br/Empenhos/150001/NE/2024NE003218.pdf","2024NE003218")</f>
        <v>2024NE003218</v>
      </c>
      <c r="H744" s="6">
        <v>260000</v>
      </c>
      <c r="I744" s="7" t="s">
        <v>297</v>
      </c>
      <c r="J744" s="10" t="s">
        <v>832</v>
      </c>
      <c r="K744" t="str">
        <f>HYPERLINK("http://www8.mpce.mp.br/Empenhos/150501/NE/2024NE000838.pdf","2024NE000838")</f>
        <v>2024NE000838</v>
      </c>
      <c r="L744" s="13">
        <v>58910.97</v>
      </c>
      <c r="M744" t="s">
        <v>158</v>
      </c>
      <c r="N744">
        <v>5569807000163</v>
      </c>
    </row>
    <row r="745" spans="1:14" ht="51" x14ac:dyDescent="0.25">
      <c r="A745" s="12" t="s">
        <v>34</v>
      </c>
      <c r="B745" s="2" t="s">
        <v>970</v>
      </c>
      <c r="C745" s="3" t="str">
        <f>HYPERLINK("https://transparencia-area-fim.mpce.mp.br/#/consulta/processo/pastadigital/092024000027979","09.2024.00002797-9")</f>
        <v>09.2024.00002797-9</v>
      </c>
      <c r="D745" s="4">
        <v>45610</v>
      </c>
      <c r="E745" s="16" t="s">
        <v>971</v>
      </c>
      <c r="F745" s="2" t="s">
        <v>718</v>
      </c>
      <c r="G745" s="5" t="str">
        <f>HYPERLINK("http://www8.mpce.mp.br/Empenhos/150001/NE/2024NE003224.pdf","2024NE003224")</f>
        <v>2024NE003224</v>
      </c>
      <c r="H745" s="6">
        <v>38516.39</v>
      </c>
      <c r="I745" s="7" t="s">
        <v>972</v>
      </c>
      <c r="J745" s="10" t="s">
        <v>994</v>
      </c>
      <c r="K745" t="str">
        <f>HYPERLINK("http://www8.mpce.mp.br/Empenhos/150001/NE/2024NE000856.pdf","2024NE000856")</f>
        <v>2024NE000856</v>
      </c>
      <c r="L745" s="13">
        <v>2250</v>
      </c>
      <c r="M745" t="s">
        <v>447</v>
      </c>
      <c r="N745">
        <v>1300487000190</v>
      </c>
    </row>
    <row r="746" spans="1:14" ht="90" x14ac:dyDescent="0.25">
      <c r="A746" s="12" t="s">
        <v>9</v>
      </c>
      <c r="B746" s="2" t="s">
        <v>729</v>
      </c>
      <c r="C746" s="3" t="str">
        <f>HYPERLINK("https://transparencia-area-fim.mpce.mp.br/#/consulta/processo/pastadigital/092024000122126","09.2024.00012212-6")</f>
        <v>09.2024.00012212-6</v>
      </c>
      <c r="D746" s="4">
        <v>45610</v>
      </c>
      <c r="E746" s="17" t="str">
        <f>HYPERLINK("https://www8.mpce.mp.br/Empenhos/150001/Objeto/34-2024.pdf","EMPENHO SUPLEMENTAR DA NED 2024NE000550, REF. TREINAMENTO IN COMPANY COM O TEMA: JORNADA DE LIDERANÇA - SERVIDORES, TURMAS 01 E 02, POR"&amp;" MEIO DE INEXIGIBILIDADE DE LICITAÇÃO, CONF. CONTRATO 034/2024 - 1º ADITIVO, CONF. SOLICITAÇÃO DO GESTOR (PGA 09.2024.00017839-8/SAJ-MPCE, FLS. 113).")</f>
        <v>EMPENHO SUPLEMENTAR DA NED 2024NE000550, REF. TREINAMENTO IN COMPANY COM O TEMA: JORNADA DE LIDERANÇA - SERVIDORES, TURMAS 01 E 02, POR MEIO DE INEXIGIBILIDADE DE LICITAÇÃO, CONF. CONTRATO 034/2024 - 1º ADITIVO, CONF. SOLICITAÇÃO DO GESTOR (PGA 09.2024.00017839-8/SAJ-MPCE, FLS. 113).</v>
      </c>
      <c r="F746" s="2" t="s">
        <v>373</v>
      </c>
      <c r="G746" s="5" t="str">
        <f>HYPERLINK("http://www8.mpce.mp.br/Empenhos/150001/NE/2024NE003237.pdf","2024NE003237")</f>
        <v>2024NE003237</v>
      </c>
      <c r="H746" s="6">
        <v>3200</v>
      </c>
      <c r="I746" s="7" t="s">
        <v>535</v>
      </c>
      <c r="J746" s="10" t="s">
        <v>853</v>
      </c>
      <c r="K746" t="str">
        <f>HYPERLINK("http://www8.mpce.mp.br/Empenhos/150501/NE/2024NE000875.pdf","2024NE000875")</f>
        <v>2024NE000875</v>
      </c>
      <c r="L746" s="13">
        <v>36672</v>
      </c>
      <c r="M746" t="s">
        <v>244</v>
      </c>
      <c r="N746">
        <v>3773788000167</v>
      </c>
    </row>
    <row r="747" spans="1:14" ht="127.5" x14ac:dyDescent="0.25">
      <c r="A747" s="12" t="s">
        <v>9</v>
      </c>
      <c r="B747" s="2" t="s">
        <v>729</v>
      </c>
      <c r="C747" s="3" t="str">
        <f>HYPERLINK("https://transparencia-area-fim.mpce.mp.br/#/consulta/processo/pastadigital/092024000344069","09.2024.00034406-9")</f>
        <v>09.2024.00034406-9</v>
      </c>
      <c r="D747" s="4">
        <v>45615</v>
      </c>
      <c r="E747" s="16" t="s">
        <v>973</v>
      </c>
      <c r="F747" s="2" t="s">
        <v>373</v>
      </c>
      <c r="G747" s="5" t="str">
        <f>HYPERLINK("http://www8.mpce.mp.br/Empenhos/150001/NE/2024NE003267.pdf","2024NE003267")</f>
        <v>2024NE003267</v>
      </c>
      <c r="H747" s="6">
        <v>10000</v>
      </c>
      <c r="I747" s="7" t="s">
        <v>974</v>
      </c>
      <c r="J747" s="10" t="s">
        <v>995</v>
      </c>
      <c r="K747" t="str">
        <f>HYPERLINK("http://www8.mpce.mp.br/Empenhos/150501/NE/2024NE000875.pdf","2024NE000875")</f>
        <v>2024NE000875</v>
      </c>
      <c r="L747" s="13">
        <v>36672</v>
      </c>
      <c r="M747" t="s">
        <v>244</v>
      </c>
      <c r="N747">
        <v>3773788000167</v>
      </c>
    </row>
    <row r="748" spans="1:14" ht="63.75" x14ac:dyDescent="0.25">
      <c r="A748" s="12" t="s">
        <v>34</v>
      </c>
      <c r="B748" s="2" t="s">
        <v>975</v>
      </c>
      <c r="C748" s="3" t="str">
        <f>HYPERLINK("https://transparencia-area-fim.mpce.mp.br/#/consulta/processo/pastadigital/092024000116090","09.2024.00011609-0")</f>
        <v>09.2024.00011609-0</v>
      </c>
      <c r="D748" s="4">
        <v>45621</v>
      </c>
      <c r="E748" s="16" t="s">
        <v>976</v>
      </c>
      <c r="F748" s="2" t="s">
        <v>977</v>
      </c>
      <c r="G748" s="5" t="str">
        <f>HYPERLINK("http://www8.mpce.mp.br/Empenhos/150001/NE/2024NE003310.pdf","2024NE003310")</f>
        <v>2024NE003310</v>
      </c>
      <c r="H748" s="6">
        <v>13000</v>
      </c>
      <c r="I748" s="7" t="s">
        <v>978</v>
      </c>
      <c r="J748" s="10" t="s">
        <v>996</v>
      </c>
      <c r="K748" t="str">
        <f>HYPERLINK("http://www8.mpce.mp.br/Empenhos/150501/NE/2024NE000875.pdf","2024NE000875")</f>
        <v>2024NE000875</v>
      </c>
      <c r="L748" s="13">
        <v>36672</v>
      </c>
      <c r="M748" t="s">
        <v>244</v>
      </c>
      <c r="N748">
        <v>3773788000167</v>
      </c>
    </row>
    <row r="749" spans="1:14" ht="89.25" x14ac:dyDescent="0.25">
      <c r="A749" s="12" t="s">
        <v>34</v>
      </c>
      <c r="B749" s="2" t="s">
        <v>1009</v>
      </c>
      <c r="C749" s="3" t="str">
        <f>HYPERLINK("https://transparencia-area-fim.mpce.mp.br/#/consulta/processo/pastadigital/092024000311445","09.2024.00031144-5")</f>
        <v>09.2024.00031144-5</v>
      </c>
      <c r="D749" s="4">
        <v>45624</v>
      </c>
      <c r="E749" s="16" t="s">
        <v>1010</v>
      </c>
      <c r="F749" s="2" t="s">
        <v>446</v>
      </c>
      <c r="G749" s="5" t="str">
        <f>HYPERLINK("http://www8.mpce.mp.br/Empenhos/150001/NE/2024NE003338.pdf","2024NE003338")</f>
        <v>2024NE003338</v>
      </c>
      <c r="H749" s="6">
        <v>18348.75</v>
      </c>
      <c r="I749" s="7" t="s">
        <v>1011</v>
      </c>
      <c r="J749" s="10" t="s">
        <v>1022</v>
      </c>
      <c r="K749" t="str">
        <f>HYPERLINK("http://www8.mpce.mp.br/Empenhos/150501/NE/2024NE000875.pdf","2024NE000875")</f>
        <v>2024NE000875</v>
      </c>
      <c r="L749" s="13">
        <v>36672</v>
      </c>
      <c r="M749" t="s">
        <v>244</v>
      </c>
      <c r="N749">
        <v>3773788000167</v>
      </c>
    </row>
    <row r="750" spans="1:14" ht="51" x14ac:dyDescent="0.25">
      <c r="A750" s="12" t="s">
        <v>9</v>
      </c>
      <c r="B750" s="2" t="s">
        <v>1012</v>
      </c>
      <c r="C750" s="3" t="str">
        <f>HYPERLINK("https://transparencia-area-fim.mpce.mp.br/#/consulta/processo/pastadigital/092024000379447","09.2024.00037944-7")</f>
        <v>09.2024.00037944-7</v>
      </c>
      <c r="D750" s="4">
        <v>45624</v>
      </c>
      <c r="E750" s="16" t="str">
        <f>HYPERLINK("https://www8.mpce.mp.br/Empenhos/150001/Objeto/6-2024..pdf","REFERENTE A SOLICITAÇÃO PARA A PRESTAÇÃO DE SERVIÇOS DE CONSULTORIA E TREINAMENTO EM GESTÃO DE RESULTADOS POR INDICADORES, CONF. CONTRATO Nº 096/2024.")</f>
        <v>REFERENTE A SOLICITAÇÃO PARA A PRESTAÇÃO DE SERVIÇOS DE CONSULTORIA E TREINAMENTO EM GESTÃO DE RESULTADOS POR INDICADORES, CONF. CONTRATO Nº 096/2024.</v>
      </c>
      <c r="F750" s="2" t="s">
        <v>81</v>
      </c>
      <c r="G750" s="5" t="str">
        <f>HYPERLINK("http://www8.mpce.mp.br/Empenhos/150001/NE/2024NE003344.pdf","2024NE003344")</f>
        <v>2024NE003344</v>
      </c>
      <c r="H750" s="6">
        <v>28770.91</v>
      </c>
      <c r="I750" s="7" t="s">
        <v>1013</v>
      </c>
      <c r="J750" s="10" t="s">
        <v>1023</v>
      </c>
      <c r="K750" t="str">
        <f>HYPERLINK("http://www8.mpce.mp.br/Empenhos/150501/NE/2024NE000877.pdf","2024NE000877")</f>
        <v>2024NE000877</v>
      </c>
      <c r="L750" s="13">
        <v>162760</v>
      </c>
      <c r="M750" t="s">
        <v>254</v>
      </c>
      <c r="N750">
        <v>8918421000108</v>
      </c>
    </row>
    <row r="751" spans="1:14" ht="114.75" x14ac:dyDescent="0.25">
      <c r="A751" s="12" t="s">
        <v>34</v>
      </c>
      <c r="B751" s="2" t="s">
        <v>1014</v>
      </c>
      <c r="C751" s="3" t="str">
        <f>HYPERLINK("https://transparencia-area-fim.mpce.mp.br/#/consulta/processo/pastadigital/092023000064260","09.2023.00006426-0")</f>
        <v>09.2023.00006426-0</v>
      </c>
      <c r="D751" s="4">
        <v>45625</v>
      </c>
      <c r="E751" s="16" t="s">
        <v>1015</v>
      </c>
      <c r="F751" s="2" t="s">
        <v>679</v>
      </c>
      <c r="G751" s="5" t="str">
        <f>HYPERLINK("http://www8.mpce.mp.br/Empenhos/150001/NE/2024NE003355.pdf","2024NE003355")</f>
        <v>2024NE003355</v>
      </c>
      <c r="H751" s="6">
        <v>174767</v>
      </c>
      <c r="I751" s="7" t="s">
        <v>244</v>
      </c>
      <c r="J751" s="10" t="s">
        <v>245</v>
      </c>
      <c r="K751" t="str">
        <f>HYPERLINK("http://www8.mpce.mp.br/Empenhos/150501/NE/2024NE000893.pdf","2024NE000893")</f>
        <v>2024NE000893</v>
      </c>
      <c r="L751" s="13">
        <v>122950.65</v>
      </c>
      <c r="M751" t="s">
        <v>244</v>
      </c>
      <c r="N751">
        <v>3773788000167</v>
      </c>
    </row>
    <row r="752" spans="1:14" ht="76.5" x14ac:dyDescent="0.25">
      <c r="A752" s="12" t="s">
        <v>9</v>
      </c>
      <c r="B752" s="2" t="s">
        <v>729</v>
      </c>
      <c r="C752" s="3" t="str">
        <f>HYPERLINK("https://transparencia-area-fim.mpce.mp.br/#/consulta/processo/pastadigital/092024000384139","09.2024.00038413-9")</f>
        <v>09.2024.00038413-9</v>
      </c>
      <c r="D752" s="4">
        <v>45632</v>
      </c>
      <c r="E752" s="16" t="s">
        <v>1016</v>
      </c>
      <c r="F752" s="2" t="s">
        <v>373</v>
      </c>
      <c r="G752" s="5" t="str">
        <f>HYPERLINK("http://www8.mpce.mp.br/Empenhos/150001/NE/2024NE003457.pdf","2024NE003457")</f>
        <v>2024NE003457</v>
      </c>
      <c r="H752" s="6">
        <v>9375</v>
      </c>
      <c r="I752" s="7" t="s">
        <v>1017</v>
      </c>
      <c r="J752" s="10" t="s">
        <v>1024</v>
      </c>
      <c r="K752" t="str">
        <f>HYPERLINK("http://www8.mpce.mp.br/Empenhos/150501/NE/2024NE000895.pdf","2024NE000895")</f>
        <v>2024NE000895</v>
      </c>
      <c r="L752" s="13">
        <v>2619.0100000000002</v>
      </c>
      <c r="M752" t="s">
        <v>158</v>
      </c>
      <c r="N752">
        <v>5569807000163</v>
      </c>
    </row>
    <row r="753" spans="1:14" ht="51" x14ac:dyDescent="0.25">
      <c r="A753" s="12" t="s">
        <v>34</v>
      </c>
      <c r="B753" s="2" t="s">
        <v>975</v>
      </c>
      <c r="C753" s="3" t="str">
        <f>HYPERLINK("https://transparencia-area-fim.mpce.mp.br/#/consulta/processo/pastadigital/092024000392650","09.2024.00039265-0")</f>
        <v>09.2024.00039265-0</v>
      </c>
      <c r="D753" s="4">
        <v>45632</v>
      </c>
      <c r="E753" s="16" t="s">
        <v>1018</v>
      </c>
      <c r="F753" s="2" t="s">
        <v>697</v>
      </c>
      <c r="G753" s="5" t="str">
        <f>HYPERLINK("http://www8.mpce.mp.br/Empenhos/150001/NE/2024NE003463.pdf","2024NE003463")</f>
        <v>2024NE003463</v>
      </c>
      <c r="H753" s="6">
        <v>2299.5</v>
      </c>
      <c r="I753" s="7" t="s">
        <v>1019</v>
      </c>
      <c r="J753" s="10" t="s">
        <v>1025</v>
      </c>
      <c r="K753" t="str">
        <f>HYPERLINK("http://www8.mpce.mp.br/Empenhos/150501/NE/2024NE000899.pdf","2024NE000899")</f>
        <v>2024NE000899</v>
      </c>
      <c r="L753" s="13">
        <v>35472</v>
      </c>
      <c r="M753" t="s">
        <v>254</v>
      </c>
      <c r="N753">
        <v>8918421000108</v>
      </c>
    </row>
    <row r="754" spans="1:14" x14ac:dyDescent="0.25">
      <c r="A754"/>
      <c r="B754"/>
      <c r="I754"/>
      <c r="J754"/>
      <c r="K754" t="str">
        <f>HYPERLINK("http://www8.mpce.mp.br/Empenhos/150501/NE/2024NE000911.pdf","2024NE000911")</f>
        <v>2024NE000911</v>
      </c>
      <c r="L754" s="13">
        <v>1914.39</v>
      </c>
      <c r="M754" t="s">
        <v>151</v>
      </c>
      <c r="N754">
        <v>22705562000173</v>
      </c>
    </row>
    <row r="755" spans="1:14" x14ac:dyDescent="0.25">
      <c r="A755"/>
      <c r="B755"/>
      <c r="I755"/>
      <c r="J755"/>
      <c r="K755" t="str">
        <f>HYPERLINK("http://www8.mpce.mp.br/Empenhos/150001/NE/2024NE000942.pdf","2024NE000942")</f>
        <v>2024NE000942</v>
      </c>
      <c r="L755" s="13">
        <v>33000</v>
      </c>
      <c r="M755" t="s">
        <v>374</v>
      </c>
      <c r="N755">
        <v>51871404000191</v>
      </c>
    </row>
    <row r="756" spans="1:14" x14ac:dyDescent="0.25">
      <c r="A756"/>
      <c r="B756"/>
      <c r="I756"/>
      <c r="J756"/>
      <c r="K756" t="str">
        <f>HYPERLINK("http://www8.mpce.mp.br/Empenhos/150001/NE/2024NE000947.pdf","2024NE000947")</f>
        <v>2024NE000947</v>
      </c>
      <c r="L756" s="13">
        <v>8270</v>
      </c>
      <c r="M756" t="s">
        <v>461</v>
      </c>
      <c r="N756">
        <v>41789816000123</v>
      </c>
    </row>
    <row r="757" spans="1:14" x14ac:dyDescent="0.25">
      <c r="A757"/>
      <c r="B757"/>
      <c r="I757"/>
      <c r="J757"/>
      <c r="K757" t="str">
        <f>HYPERLINK("http://www8.mpce.mp.br/Empenhos/150501/NE/2024NE000956.pdf","2024NE000956")</f>
        <v>2024NE000956</v>
      </c>
      <c r="L757">
        <v>273.79000000000002</v>
      </c>
      <c r="M757" t="s">
        <v>38</v>
      </c>
      <c r="N757">
        <v>33065699000127</v>
      </c>
    </row>
    <row r="758" spans="1:14" x14ac:dyDescent="0.25">
      <c r="A758"/>
      <c r="B758"/>
      <c r="I758"/>
      <c r="J758"/>
      <c r="K758" t="str">
        <f>HYPERLINK("http://www8.mpce.mp.br/Empenhos/150501/NE/2024NE000958.pdf","2024NE000958")</f>
        <v>2024NE000958</v>
      </c>
      <c r="L758">
        <v>152</v>
      </c>
      <c r="M758" t="s">
        <v>38</v>
      </c>
      <c r="N758">
        <v>33065699000127</v>
      </c>
    </row>
    <row r="759" spans="1:14" x14ac:dyDescent="0.25">
      <c r="A759"/>
      <c r="B759"/>
      <c r="I759"/>
      <c r="J759"/>
      <c r="K759" t="str">
        <f>HYPERLINK("http://www8.mpce.mp.br/Empenhos/150501/NE/2024NE000959.pdf","2024NE000959")</f>
        <v>2024NE000959</v>
      </c>
      <c r="L759" s="13">
        <v>2843.45</v>
      </c>
      <c r="M759" t="s">
        <v>171</v>
      </c>
      <c r="N759">
        <v>7936046000166</v>
      </c>
    </row>
    <row r="760" spans="1:14" x14ac:dyDescent="0.25">
      <c r="A760"/>
      <c r="B760"/>
      <c r="I760"/>
      <c r="J760"/>
      <c r="K760" t="str">
        <f>HYPERLINK("http://www8.mpce.mp.br/Empenhos/150501/NE/2024NE000965.pdf","2024NE000965")</f>
        <v>2024NE000965</v>
      </c>
      <c r="L760" s="13">
        <v>66161.41</v>
      </c>
      <c r="M760" t="s">
        <v>132</v>
      </c>
      <c r="N760">
        <v>11710431000168</v>
      </c>
    </row>
    <row r="761" spans="1:14" x14ac:dyDescent="0.25">
      <c r="A761"/>
      <c r="B761"/>
      <c r="I761"/>
      <c r="J761"/>
      <c r="K761" t="str">
        <f>HYPERLINK("http://www8.mpce.mp.br/Empenhos/150501/NE/2024NE000966.pdf","2024NE000966")</f>
        <v>2024NE000966</v>
      </c>
      <c r="L761" s="13">
        <v>26000.1</v>
      </c>
      <c r="M761" t="s">
        <v>134</v>
      </c>
      <c r="N761">
        <v>44114554000195</v>
      </c>
    </row>
    <row r="762" spans="1:14" x14ac:dyDescent="0.25">
      <c r="A762"/>
      <c r="B762"/>
      <c r="I762"/>
      <c r="J762"/>
      <c r="K762" t="str">
        <f>HYPERLINK("http://www8.mpce.mp.br/Empenhos/150501/NE/2024NE000967.pdf","2024NE000967")</f>
        <v>2024NE000967</v>
      </c>
      <c r="L762" s="13">
        <v>26000</v>
      </c>
      <c r="M762" t="s">
        <v>175</v>
      </c>
      <c r="N762">
        <v>14763826000117</v>
      </c>
    </row>
    <row r="763" spans="1:14" x14ac:dyDescent="0.25">
      <c r="A763"/>
      <c r="B763"/>
      <c r="I763"/>
      <c r="J763"/>
      <c r="K763" t="str">
        <f>HYPERLINK("http://www8.mpce.mp.br/Empenhos/150501/NE/2024NE000968.pdf","2024NE000968")</f>
        <v>2024NE000968</v>
      </c>
      <c r="L763" s="13">
        <v>16434.259999999998</v>
      </c>
      <c r="M763" t="s">
        <v>132</v>
      </c>
      <c r="N763">
        <v>11710431000168</v>
      </c>
    </row>
    <row r="764" spans="1:14" x14ac:dyDescent="0.25">
      <c r="A764"/>
      <c r="B764"/>
      <c r="I764"/>
      <c r="J764"/>
      <c r="K764" t="str">
        <f>HYPERLINK("http://www8.mpce.mp.br/Empenhos/150501/NE/2024NE000971.pdf","2024NE000971")</f>
        <v>2024NE000971</v>
      </c>
      <c r="L764" s="13">
        <v>20900</v>
      </c>
      <c r="M764" t="s">
        <v>129</v>
      </c>
      <c r="N764">
        <v>32697604000125</v>
      </c>
    </row>
    <row r="765" spans="1:14" x14ac:dyDescent="0.25">
      <c r="A765"/>
      <c r="B765"/>
      <c r="I765"/>
      <c r="J765"/>
      <c r="K765" t="str">
        <f>HYPERLINK("http://www8.mpce.mp.br/Empenhos/150501/NE/2024NE000972.pdf","2024NE000972")</f>
        <v>2024NE000972</v>
      </c>
      <c r="L765" s="13">
        <v>18465</v>
      </c>
      <c r="M765" t="s">
        <v>171</v>
      </c>
      <c r="N765">
        <v>7936046000166</v>
      </c>
    </row>
    <row r="766" spans="1:14" x14ac:dyDescent="0.25">
      <c r="A766"/>
      <c r="B766"/>
      <c r="I766"/>
      <c r="J766"/>
      <c r="K766" t="str">
        <f>HYPERLINK("http://www8.mpce.mp.br/Empenhos/150501/NE/2024NE000973.pdf","2024NE000973")</f>
        <v>2024NE000973</v>
      </c>
      <c r="L766" s="13">
        <v>18900</v>
      </c>
      <c r="M766" t="s">
        <v>129</v>
      </c>
      <c r="N766">
        <v>32697604000125</v>
      </c>
    </row>
    <row r="767" spans="1:14" x14ac:dyDescent="0.25">
      <c r="A767"/>
      <c r="B767"/>
      <c r="I767"/>
      <c r="J767"/>
      <c r="K767" t="str">
        <f>HYPERLINK("http://www8.mpce.mp.br/Empenhos/150501/NE/2024NE000974.pdf","2024NE000974")</f>
        <v>2024NE000974</v>
      </c>
      <c r="L767" s="13">
        <v>13486.5</v>
      </c>
      <c r="M767" t="s">
        <v>402</v>
      </c>
      <c r="N767">
        <v>53820857000114</v>
      </c>
    </row>
    <row r="768" spans="1:14" x14ac:dyDescent="0.25">
      <c r="A768"/>
      <c r="B768"/>
      <c r="I768"/>
      <c r="J768"/>
      <c r="K768" t="str">
        <f>HYPERLINK("http://www8.mpce.mp.br/Empenhos/150501/NE/2024NE000975.pdf","2024NE000975")</f>
        <v>2024NE000975</v>
      </c>
      <c r="L768" s="13">
        <v>18000</v>
      </c>
      <c r="M768" t="s">
        <v>146</v>
      </c>
      <c r="N768">
        <v>41456187000110</v>
      </c>
    </row>
    <row r="769" spans="1:14" x14ac:dyDescent="0.25">
      <c r="A769"/>
      <c r="B769"/>
      <c r="I769"/>
      <c r="J769"/>
      <c r="K769" t="str">
        <f>HYPERLINK("http://www8.mpce.mp.br/Empenhos/150501/NE/2024NE000976.pdf","2024NE000976")</f>
        <v>2024NE000976</v>
      </c>
      <c r="L769" s="13">
        <v>33400.11</v>
      </c>
      <c r="M769" t="s">
        <v>134</v>
      </c>
      <c r="N769">
        <v>44114554000195</v>
      </c>
    </row>
    <row r="770" spans="1:14" x14ac:dyDescent="0.25">
      <c r="A770"/>
      <c r="B770"/>
      <c r="I770"/>
      <c r="J770"/>
      <c r="K770" t="str">
        <f>HYPERLINK("http://www8.mpce.mp.br/Empenhos/150001/NE/2024NE000976.pdf","2024NE000976")</f>
        <v>2024NE000976</v>
      </c>
      <c r="L770" s="13">
        <v>3190</v>
      </c>
      <c r="M770" t="s">
        <v>464</v>
      </c>
      <c r="N770">
        <v>10498974000109</v>
      </c>
    </row>
    <row r="771" spans="1:14" x14ac:dyDescent="0.25">
      <c r="A771"/>
      <c r="B771"/>
      <c r="I771"/>
      <c r="J771"/>
      <c r="K771" t="str">
        <f>HYPERLINK("http://www8.mpce.mp.br/Empenhos/150501/NE/2024NE000977.pdf","2024NE000977")</f>
        <v>2024NE000977</v>
      </c>
      <c r="L771" s="13">
        <v>47253.13</v>
      </c>
      <c r="M771" t="s">
        <v>151</v>
      </c>
      <c r="N771">
        <v>22705562000173</v>
      </c>
    </row>
    <row r="772" spans="1:14" x14ac:dyDescent="0.25">
      <c r="A772"/>
      <c r="B772"/>
      <c r="I772"/>
      <c r="J772"/>
      <c r="K772" t="str">
        <f>HYPERLINK("http://www8.mpce.mp.br/Empenhos/150501/NE/2024NE000978.pdf","2024NE000978")</f>
        <v>2024NE000978</v>
      </c>
      <c r="L772" s="13">
        <v>58910.97</v>
      </c>
      <c r="M772" t="s">
        <v>158</v>
      </c>
      <c r="N772">
        <v>5569807000163</v>
      </c>
    </row>
    <row r="773" spans="1:14" x14ac:dyDescent="0.25">
      <c r="A773"/>
      <c r="B773"/>
      <c r="I773"/>
      <c r="J773"/>
      <c r="K773" t="str">
        <f>HYPERLINK("http://www8.mpce.mp.br/Empenhos/150501/NE/2024NE000979.pdf","2024NE000979")</f>
        <v>2024NE000979</v>
      </c>
      <c r="L773" s="13">
        <v>5600</v>
      </c>
      <c r="M773" t="s">
        <v>123</v>
      </c>
      <c r="N773">
        <v>12255352000177</v>
      </c>
    </row>
    <row r="774" spans="1:14" x14ac:dyDescent="0.25">
      <c r="A774"/>
      <c r="B774"/>
      <c r="I774"/>
      <c r="J774"/>
      <c r="K774" t="str">
        <f>HYPERLINK("http://www8.mpce.mp.br/Empenhos/150501/NE/2024NE000980.pdf","2024NE000980")</f>
        <v>2024NE000980</v>
      </c>
      <c r="L774" s="13">
        <v>22143.48</v>
      </c>
      <c r="M774" t="s">
        <v>153</v>
      </c>
      <c r="N774">
        <v>10508750000122</v>
      </c>
    </row>
    <row r="775" spans="1:14" x14ac:dyDescent="0.25">
      <c r="A775"/>
      <c r="B775"/>
      <c r="I775"/>
      <c r="J775"/>
      <c r="K775" t="str">
        <f>HYPERLINK("http://www8.mpce.mp.br/Empenhos/150501/NE/2024NE000981.pdf","2024NE000981")</f>
        <v>2024NE000981</v>
      </c>
      <c r="L775">
        <v>680.03</v>
      </c>
      <c r="M775" t="s">
        <v>219</v>
      </c>
      <c r="N775">
        <v>20941439372</v>
      </c>
    </row>
    <row r="776" spans="1:14" x14ac:dyDescent="0.25">
      <c r="A776"/>
      <c r="B776"/>
      <c r="I776"/>
      <c r="J776"/>
      <c r="K776" t="str">
        <f>HYPERLINK("http://www8.mpce.mp.br/Empenhos/150501/NE/2024NE000982.pdf","2024NE000982")</f>
        <v>2024NE000982</v>
      </c>
      <c r="L776" s="13">
        <v>22000</v>
      </c>
      <c r="M776" t="s">
        <v>153</v>
      </c>
      <c r="N776">
        <v>10508750000122</v>
      </c>
    </row>
    <row r="777" spans="1:14" x14ac:dyDescent="0.25">
      <c r="A777"/>
      <c r="B777"/>
      <c r="I777"/>
      <c r="J777"/>
      <c r="K777" t="str">
        <f>HYPERLINK("http://www8.mpce.mp.br/Empenhos/150501/NE/2024NE000983.pdf","2024NE000983")</f>
        <v>2024NE000983</v>
      </c>
      <c r="L777" s="13">
        <v>13200</v>
      </c>
      <c r="M777" t="s">
        <v>238</v>
      </c>
      <c r="N777">
        <v>44231385000173</v>
      </c>
    </row>
    <row r="778" spans="1:14" x14ac:dyDescent="0.25">
      <c r="A778"/>
      <c r="B778"/>
      <c r="I778"/>
      <c r="J778"/>
      <c r="K778" t="str">
        <f>HYPERLINK("http://www8.mpce.mp.br/Empenhos/150501/NE/2024NE000984.pdf","2024NE000984")</f>
        <v>2024NE000984</v>
      </c>
      <c r="L778" s="13">
        <v>18000</v>
      </c>
      <c r="M778" t="s">
        <v>240</v>
      </c>
      <c r="N778">
        <v>48444032000102</v>
      </c>
    </row>
    <row r="779" spans="1:14" x14ac:dyDescent="0.25">
      <c r="A779"/>
      <c r="B779"/>
      <c r="I779"/>
      <c r="J779"/>
      <c r="K779" t="str">
        <f>HYPERLINK("http://www8.mpce.mp.br/Empenhos/150501/NE/2024NE000985.pdf","2024NE000985")</f>
        <v>2024NE000985</v>
      </c>
      <c r="L779" s="13">
        <v>13612</v>
      </c>
      <c r="M779" t="s">
        <v>129</v>
      </c>
      <c r="N779">
        <v>32697604000125</v>
      </c>
    </row>
    <row r="780" spans="1:14" x14ac:dyDescent="0.25">
      <c r="A780"/>
      <c r="B780"/>
      <c r="I780"/>
      <c r="J780"/>
      <c r="K780" t="str">
        <f>HYPERLINK("http://www8.mpce.mp.br/Empenhos/150501/NE/2024NE000986.pdf","2024NE000986")</f>
        <v>2024NE000986</v>
      </c>
      <c r="L780" s="13">
        <v>14180</v>
      </c>
      <c r="M780" t="s">
        <v>129</v>
      </c>
      <c r="N780">
        <v>32697604000125</v>
      </c>
    </row>
    <row r="781" spans="1:14" x14ac:dyDescent="0.25">
      <c r="A781"/>
      <c r="B781"/>
      <c r="I781"/>
      <c r="J781"/>
      <c r="K781" t="str">
        <f>HYPERLINK("http://www8.mpce.mp.br/Empenhos/150501/NE/2024NE000987.pdf","2024NE000987")</f>
        <v>2024NE000987</v>
      </c>
      <c r="L781" s="13">
        <v>14000</v>
      </c>
      <c r="M781" t="s">
        <v>234</v>
      </c>
      <c r="N781">
        <v>29417319000107</v>
      </c>
    </row>
    <row r="782" spans="1:14" x14ac:dyDescent="0.25">
      <c r="A782"/>
      <c r="B782"/>
      <c r="I782"/>
      <c r="J782"/>
      <c r="K782" t="str">
        <f>HYPERLINK("http://www8.mpce.mp.br/Empenhos/150501/NE/2024NE000988.pdf","2024NE000988")</f>
        <v>2024NE000988</v>
      </c>
      <c r="L782" s="13">
        <v>2188.0100000000002</v>
      </c>
      <c r="M782" t="s">
        <v>236</v>
      </c>
      <c r="N782">
        <v>49090674349</v>
      </c>
    </row>
    <row r="783" spans="1:14" x14ac:dyDescent="0.25">
      <c r="A783"/>
      <c r="B783"/>
      <c r="I783"/>
      <c r="J783"/>
      <c r="K783" t="str">
        <f>HYPERLINK("http://www8.mpce.mp.br/Empenhos/150501/NE/2024NE001002.pdf","2024NE001002")</f>
        <v>2024NE001002</v>
      </c>
      <c r="L783" s="13">
        <v>2935.71</v>
      </c>
      <c r="M783" t="s">
        <v>179</v>
      </c>
      <c r="N783">
        <v>77748638349</v>
      </c>
    </row>
    <row r="784" spans="1:14" x14ac:dyDescent="0.25">
      <c r="A784"/>
      <c r="B784"/>
      <c r="I784"/>
      <c r="J784"/>
      <c r="K784" t="str">
        <f>HYPERLINK("http://www8.mpce.mp.br/Empenhos/150501/NE/2024NE001027.pdf","2024NE001027")</f>
        <v>2024NE001027</v>
      </c>
      <c r="L784" s="13">
        <v>8150.28</v>
      </c>
      <c r="M784" t="s">
        <v>177</v>
      </c>
      <c r="N784">
        <v>2144832315</v>
      </c>
    </row>
    <row r="785" spans="1:14" x14ac:dyDescent="0.25">
      <c r="A785"/>
      <c r="B785"/>
      <c r="I785"/>
      <c r="J785"/>
      <c r="K785" t="str">
        <f>HYPERLINK("http://www8.mpce.mp.br/Empenhos/150501/NE/2024NE001028.pdf","2024NE001028")</f>
        <v>2024NE001028</v>
      </c>
      <c r="L785" s="13">
        <v>4341.5600000000004</v>
      </c>
      <c r="M785" t="s">
        <v>232</v>
      </c>
      <c r="N785">
        <v>18904432391</v>
      </c>
    </row>
    <row r="786" spans="1:14" x14ac:dyDescent="0.25">
      <c r="A786"/>
      <c r="B786"/>
      <c r="I786"/>
      <c r="J786"/>
      <c r="K786" t="str">
        <f>HYPERLINK("http://www8.mpce.mp.br/Empenhos/150501/NE/2024NE001029.pdf","2024NE001029")</f>
        <v>2024NE001029</v>
      </c>
      <c r="L786" s="13">
        <v>1431.35</v>
      </c>
      <c r="M786" t="s">
        <v>140</v>
      </c>
      <c r="N786">
        <v>15473585000134</v>
      </c>
    </row>
    <row r="787" spans="1:14" x14ac:dyDescent="0.25">
      <c r="A787"/>
      <c r="B787"/>
      <c r="I787"/>
      <c r="J787"/>
      <c r="K787" t="str">
        <f>HYPERLINK("http://www8.mpce.mp.br/Empenhos/150501/NE/2024NE001030.pdf","2024NE001030")</f>
        <v>2024NE001030</v>
      </c>
      <c r="L787" s="13">
        <v>2341.9699999999998</v>
      </c>
      <c r="M787" t="s">
        <v>211</v>
      </c>
      <c r="N787">
        <v>46950052391</v>
      </c>
    </row>
    <row r="788" spans="1:14" x14ac:dyDescent="0.25">
      <c r="A788"/>
      <c r="B788"/>
      <c r="I788"/>
      <c r="J788"/>
      <c r="K788" t="str">
        <f>HYPERLINK("http://www8.mpce.mp.br/Empenhos/150501/NE/2024NE001031.pdf","2024NE001031")</f>
        <v>2024NE001031</v>
      </c>
      <c r="L788" s="13">
        <v>5400</v>
      </c>
      <c r="M788" t="s">
        <v>156</v>
      </c>
      <c r="N788">
        <v>33457311000133</v>
      </c>
    </row>
    <row r="789" spans="1:14" x14ac:dyDescent="0.25">
      <c r="A789"/>
      <c r="B789"/>
      <c r="I789"/>
      <c r="J789"/>
      <c r="K789" t="str">
        <f>HYPERLINK("http://www8.mpce.mp.br/Empenhos/150501/NE/2024NE001032.pdf","2024NE001032")</f>
        <v>2024NE001032</v>
      </c>
      <c r="L789" s="13">
        <v>3403.88</v>
      </c>
      <c r="M789" t="s">
        <v>686</v>
      </c>
      <c r="N789">
        <v>10507664000103</v>
      </c>
    </row>
    <row r="790" spans="1:14" x14ac:dyDescent="0.25">
      <c r="A790"/>
      <c r="B790"/>
      <c r="I790"/>
      <c r="J790"/>
      <c r="K790" t="str">
        <f>HYPERLINK("http://www8.mpce.mp.br/Empenhos/150501/NE/2024NE001033.pdf","2024NE001033")</f>
        <v>2024NE001033</v>
      </c>
      <c r="L790" s="13">
        <v>1200</v>
      </c>
      <c r="M790" t="s">
        <v>182</v>
      </c>
      <c r="N790">
        <v>31014895391</v>
      </c>
    </row>
    <row r="791" spans="1:14" x14ac:dyDescent="0.25">
      <c r="A791"/>
      <c r="B791"/>
      <c r="I791"/>
      <c r="J791"/>
      <c r="K791" t="str">
        <f>HYPERLINK("http://www8.mpce.mp.br/Empenhos/150501/NE/2024NE001035.pdf","2024NE001035")</f>
        <v>2024NE001035</v>
      </c>
      <c r="L791">
        <v>152.32</v>
      </c>
      <c r="M791" t="s">
        <v>158</v>
      </c>
      <c r="N791">
        <v>5569807000163</v>
      </c>
    </row>
    <row r="792" spans="1:14" x14ac:dyDescent="0.25">
      <c r="A792"/>
      <c r="B792"/>
      <c r="I792"/>
      <c r="J792"/>
      <c r="K792" t="str">
        <f>HYPERLINK("http://www8.mpce.mp.br/Empenhos/150501/NE/2024NE001036.pdf","2024NE001036")</f>
        <v>2024NE001036</v>
      </c>
      <c r="L792" s="13">
        <v>2619.0100000000002</v>
      </c>
      <c r="M792" t="s">
        <v>158</v>
      </c>
      <c r="N792">
        <v>5569807000163</v>
      </c>
    </row>
    <row r="793" spans="1:14" x14ac:dyDescent="0.25">
      <c r="A793"/>
      <c r="B793"/>
      <c r="I793"/>
      <c r="J793"/>
      <c r="K793" t="str">
        <f>HYPERLINK("http://www8.mpce.mp.br/Empenhos/150501/NE/2024NE001037.pdf","2024NE001037")</f>
        <v>2024NE001037</v>
      </c>
      <c r="L793" s="13">
        <v>3897.24</v>
      </c>
      <c r="M793" t="s">
        <v>188</v>
      </c>
      <c r="N793">
        <v>1728735335</v>
      </c>
    </row>
    <row r="794" spans="1:14" x14ac:dyDescent="0.25">
      <c r="A794"/>
      <c r="B794"/>
      <c r="I794"/>
      <c r="J794"/>
      <c r="K794" t="str">
        <f>HYPERLINK("http://www8.mpce.mp.br/Empenhos/150501/NE/2024NE001039.pdf","2024NE001039")</f>
        <v>2024NE001039</v>
      </c>
      <c r="L794" s="13">
        <v>2000</v>
      </c>
      <c r="M794" t="s">
        <v>229</v>
      </c>
      <c r="N794">
        <v>78214130387</v>
      </c>
    </row>
    <row r="795" spans="1:14" x14ac:dyDescent="0.25">
      <c r="A795"/>
      <c r="B795"/>
      <c r="I795"/>
      <c r="J795"/>
      <c r="K795" t="str">
        <f>HYPERLINK("http://www8.mpce.mp.br/Empenhos/150501/NE/2024NE001043.pdf","2024NE001043")</f>
        <v>2024NE001043</v>
      </c>
      <c r="L795" s="13">
        <v>1500</v>
      </c>
      <c r="M795" t="s">
        <v>191</v>
      </c>
      <c r="N795">
        <v>91495059391</v>
      </c>
    </row>
    <row r="796" spans="1:14" x14ac:dyDescent="0.25">
      <c r="A796"/>
      <c r="B796"/>
      <c r="I796"/>
      <c r="J796"/>
      <c r="K796" t="str">
        <f>HYPERLINK("http://www8.mpce.mp.br/Empenhos/150501/NE/2024NE001044.pdf","2024NE001044")</f>
        <v>2024NE001044</v>
      </c>
      <c r="L796" s="13">
        <v>2000</v>
      </c>
      <c r="M796" t="s">
        <v>201</v>
      </c>
      <c r="N796">
        <v>7021062320</v>
      </c>
    </row>
    <row r="797" spans="1:14" x14ac:dyDescent="0.25">
      <c r="A797"/>
      <c r="B797"/>
      <c r="I797"/>
      <c r="J797"/>
      <c r="K797" t="str">
        <f>HYPERLINK("http://www8.mpce.mp.br/Empenhos/150501/NE/2024NE001045.pdf","2024NE001045")</f>
        <v>2024NE001045</v>
      </c>
      <c r="L797" s="13">
        <v>14907.85</v>
      </c>
      <c r="M797" t="s">
        <v>254</v>
      </c>
      <c r="N797">
        <v>8918421000108</v>
      </c>
    </row>
    <row r="798" spans="1:14" x14ac:dyDescent="0.25">
      <c r="A798"/>
      <c r="B798"/>
      <c r="I798"/>
      <c r="J798"/>
      <c r="K798" t="str">
        <f>HYPERLINK("http://www8.mpce.mp.br/Empenhos/150501/NE/2024NE001046.pdf","2024NE001046")</f>
        <v>2024NE001046</v>
      </c>
      <c r="L798" s="13">
        <v>14907.85</v>
      </c>
      <c r="M798" t="s">
        <v>254</v>
      </c>
      <c r="N798">
        <v>8918421000108</v>
      </c>
    </row>
    <row r="799" spans="1:14" x14ac:dyDescent="0.25">
      <c r="A799"/>
      <c r="B799"/>
      <c r="I799"/>
      <c r="J799"/>
      <c r="K799" t="str">
        <f>HYPERLINK("http://www8.mpce.mp.br/Empenhos/150501/NE/2024NE001047.pdf","2024NE001047")</f>
        <v>2024NE001047</v>
      </c>
      <c r="L799" s="13">
        <v>4000</v>
      </c>
      <c r="M799" t="s">
        <v>162</v>
      </c>
      <c r="N799">
        <v>19678451824</v>
      </c>
    </row>
    <row r="800" spans="1:14" x14ac:dyDescent="0.25">
      <c r="A800"/>
      <c r="B800"/>
      <c r="I800"/>
      <c r="J800"/>
      <c r="K800" t="str">
        <f>HYPERLINK("http://www8.mpce.mp.br/Empenhos/150501/NE/2024NE001048.pdf","2024NE001048")</f>
        <v>2024NE001048</v>
      </c>
      <c r="L800" s="13">
        <v>1306.7</v>
      </c>
      <c r="M800" t="s">
        <v>186</v>
      </c>
      <c r="N800">
        <v>43713017387</v>
      </c>
    </row>
    <row r="801" spans="1:14" x14ac:dyDescent="0.25">
      <c r="A801"/>
      <c r="B801"/>
      <c r="I801"/>
      <c r="J801"/>
      <c r="K801" t="str">
        <f>HYPERLINK("http://www8.mpce.mp.br/Empenhos/150501/NE/2024NE001049.pdf","2024NE001049")</f>
        <v>2024NE001049</v>
      </c>
      <c r="L801" s="13">
        <v>1651.15</v>
      </c>
      <c r="M801" t="s">
        <v>207</v>
      </c>
      <c r="N801">
        <v>50937197300</v>
      </c>
    </row>
    <row r="802" spans="1:14" x14ac:dyDescent="0.25">
      <c r="A802"/>
      <c r="B802"/>
      <c r="I802"/>
      <c r="J802"/>
      <c r="K802" t="str">
        <f>HYPERLINK("http://www8.mpce.mp.br/Empenhos/150501/NE/2024NE001056.pdf","2024NE001056")</f>
        <v>2024NE001056</v>
      </c>
      <c r="L802" s="13">
        <v>1224.8599999999999</v>
      </c>
      <c r="M802" t="s">
        <v>787</v>
      </c>
      <c r="N802">
        <v>66582784000111</v>
      </c>
    </row>
    <row r="803" spans="1:14" x14ac:dyDescent="0.25">
      <c r="A803"/>
      <c r="B803"/>
      <c r="I803"/>
      <c r="J803"/>
      <c r="K803" t="str">
        <f>HYPERLINK("http://www8.mpce.mp.br/Empenhos/150501/NE/2024NE001063.pdf","2024NE001063")</f>
        <v>2024NE001063</v>
      </c>
      <c r="L803" s="13">
        <v>35718.5</v>
      </c>
      <c r="M803" t="s">
        <v>244</v>
      </c>
      <c r="N803">
        <v>3773788000167</v>
      </c>
    </row>
    <row r="804" spans="1:14" x14ac:dyDescent="0.25">
      <c r="A804"/>
      <c r="B804"/>
      <c r="I804"/>
      <c r="J804"/>
      <c r="K804" t="str">
        <f>HYPERLINK("http://www8.mpce.mp.br/Empenhos/150501/NE/2024NE001063.pdf","2024NE001063")</f>
        <v>2024NE001063</v>
      </c>
      <c r="L804" s="13">
        <v>35718.5</v>
      </c>
      <c r="M804" t="s">
        <v>244</v>
      </c>
      <c r="N804">
        <v>3773788000167</v>
      </c>
    </row>
    <row r="805" spans="1:14" x14ac:dyDescent="0.25">
      <c r="A805"/>
      <c r="B805"/>
      <c r="I805"/>
      <c r="J805"/>
      <c r="K805" t="str">
        <f>HYPERLINK("http://www8.mpce.mp.br/Empenhos/150501/NE/2024NE001063.pdf","2024NE001063")</f>
        <v>2024NE001063</v>
      </c>
      <c r="L805" s="13">
        <v>35718.5</v>
      </c>
      <c r="M805" t="s">
        <v>244</v>
      </c>
      <c r="N805">
        <v>3773788000167</v>
      </c>
    </row>
    <row r="806" spans="1:14" x14ac:dyDescent="0.25">
      <c r="A806"/>
      <c r="B806"/>
      <c r="I806"/>
      <c r="J806"/>
      <c r="K806" t="str">
        <f>HYPERLINK("http://www8.mpce.mp.br/Empenhos/150501/NE/2024NE001063.pdf","2024NE001063")</f>
        <v>2024NE001063</v>
      </c>
      <c r="L806" s="13">
        <v>35718.5</v>
      </c>
      <c r="M806" t="s">
        <v>244</v>
      </c>
      <c r="N806">
        <v>3773788000167</v>
      </c>
    </row>
    <row r="807" spans="1:14" x14ac:dyDescent="0.25">
      <c r="A807"/>
      <c r="B807"/>
      <c r="I807"/>
      <c r="J807"/>
      <c r="K807" t="str">
        <f>HYPERLINK("http://www8.mpce.mp.br/Empenhos/150501/NE/2024NE001067.pdf","2024NE001067")</f>
        <v>2024NE001067</v>
      </c>
      <c r="L807" s="13">
        <v>25207.61</v>
      </c>
      <c r="M807" t="s">
        <v>244</v>
      </c>
      <c r="N807">
        <v>3773788000167</v>
      </c>
    </row>
    <row r="808" spans="1:14" x14ac:dyDescent="0.25">
      <c r="A808"/>
      <c r="B808"/>
      <c r="I808"/>
      <c r="J808"/>
      <c r="K808" t="str">
        <f>HYPERLINK("http://www8.mpce.mp.br/Empenhos/150501/NE/2024NE001068.pdf","2024NE001068")</f>
        <v>2024NE001068</v>
      </c>
      <c r="L808" s="13">
        <v>6216.42</v>
      </c>
      <c r="M808" t="s">
        <v>244</v>
      </c>
      <c r="N808">
        <v>3773788000167</v>
      </c>
    </row>
    <row r="809" spans="1:14" x14ac:dyDescent="0.25">
      <c r="A809"/>
      <c r="B809"/>
      <c r="I809"/>
      <c r="J809"/>
      <c r="K809" t="str">
        <f>HYPERLINK("http://www8.mpce.mp.br/Empenhos/150501/NE/2024NE001070.pdf","2024NE001070")</f>
        <v>2024NE001070</v>
      </c>
      <c r="L809" s="13">
        <v>36672</v>
      </c>
      <c r="M809" t="s">
        <v>244</v>
      </c>
      <c r="N809">
        <v>3773788000167</v>
      </c>
    </row>
    <row r="810" spans="1:14" x14ac:dyDescent="0.25">
      <c r="A810"/>
      <c r="B810"/>
      <c r="I810"/>
      <c r="J810"/>
      <c r="K810" t="str">
        <f>HYPERLINK("http://www8.mpce.mp.br/Empenhos/150501/NE/2024NE001070.pdf","2024NE001070")</f>
        <v>2024NE001070</v>
      </c>
      <c r="L810" s="13">
        <v>36672</v>
      </c>
      <c r="M810" t="s">
        <v>244</v>
      </c>
      <c r="N810">
        <v>3773788000167</v>
      </c>
    </row>
    <row r="811" spans="1:14" x14ac:dyDescent="0.25">
      <c r="A811"/>
      <c r="B811"/>
      <c r="I811"/>
      <c r="J811"/>
      <c r="K811" t="str">
        <f>HYPERLINK("http://www8.mpce.mp.br/Empenhos/150501/NE/2024NE001070.pdf","2024NE001070")</f>
        <v>2024NE001070</v>
      </c>
      <c r="L811" s="13">
        <v>36672</v>
      </c>
      <c r="M811" t="s">
        <v>244</v>
      </c>
      <c r="N811">
        <v>3773788000167</v>
      </c>
    </row>
    <row r="812" spans="1:14" x14ac:dyDescent="0.25">
      <c r="A812"/>
      <c r="B812"/>
      <c r="I812"/>
      <c r="J812"/>
      <c r="K812" t="str">
        <f>HYPERLINK("http://www8.mpce.mp.br/Empenhos/150501/NE/2024NE001070.pdf","2024NE001070")</f>
        <v>2024NE001070</v>
      </c>
      <c r="L812" s="13">
        <v>36672</v>
      </c>
      <c r="M812" t="s">
        <v>244</v>
      </c>
      <c r="N812">
        <v>3773788000167</v>
      </c>
    </row>
    <row r="813" spans="1:14" x14ac:dyDescent="0.25">
      <c r="A813"/>
      <c r="B813"/>
      <c r="I813"/>
      <c r="J813"/>
      <c r="K813" t="str">
        <f>HYPERLINK("http://www8.mpce.mp.br/Empenhos/150501/NE/2024NE001071.pdf","2024NE001071")</f>
        <v>2024NE001071</v>
      </c>
      <c r="L813" s="13">
        <v>7594.5</v>
      </c>
      <c r="M813" t="s">
        <v>110</v>
      </c>
      <c r="N813">
        <v>7955535000165</v>
      </c>
    </row>
    <row r="814" spans="1:14" x14ac:dyDescent="0.25">
      <c r="A814"/>
      <c r="B814"/>
      <c r="I814"/>
      <c r="J814"/>
      <c r="K814" t="str">
        <f>HYPERLINK("http://www8.mpce.mp.br/Empenhos/150501/NE/2024NE001074.pdf","2024NE001074")</f>
        <v>2024NE001074</v>
      </c>
      <c r="L814" s="13">
        <v>13486.5</v>
      </c>
      <c r="M814" t="s">
        <v>402</v>
      </c>
      <c r="N814">
        <v>53820857000114</v>
      </c>
    </row>
    <row r="815" spans="1:14" x14ac:dyDescent="0.25">
      <c r="A815"/>
      <c r="B815"/>
      <c r="I815"/>
      <c r="J815"/>
      <c r="K815" t="str">
        <f>HYPERLINK("http://www8.mpce.mp.br/Empenhos/150501/NE/2024NE001075.pdf","2024NE001075")</f>
        <v>2024NE001075</v>
      </c>
      <c r="L815" s="13">
        <v>18465</v>
      </c>
      <c r="M815" t="s">
        <v>171</v>
      </c>
      <c r="N815">
        <v>7936046000166</v>
      </c>
    </row>
    <row r="816" spans="1:14" x14ac:dyDescent="0.25">
      <c r="A816"/>
      <c r="B816"/>
      <c r="I816"/>
      <c r="J816"/>
      <c r="K816" t="str">
        <f>HYPERLINK("http://www8.mpce.mp.br/Empenhos/150501/NE/2024NE001076.pdf","2024NE001076")</f>
        <v>2024NE001076</v>
      </c>
      <c r="L816" s="13">
        <v>18900</v>
      </c>
      <c r="M816" t="s">
        <v>129</v>
      </c>
      <c r="N816">
        <v>32697604000125</v>
      </c>
    </row>
    <row r="817" spans="1:14" x14ac:dyDescent="0.25">
      <c r="A817"/>
      <c r="B817"/>
      <c r="I817"/>
      <c r="J817"/>
      <c r="K817" t="str">
        <f>HYPERLINK("http://www8.mpce.mp.br/Empenhos/150501/NE/2024NE001088.pdf","2024NE001088")</f>
        <v>2024NE001088</v>
      </c>
      <c r="L817" s="13">
        <v>16440</v>
      </c>
      <c r="M817" t="s">
        <v>151</v>
      </c>
      <c r="N817">
        <v>22705562000173</v>
      </c>
    </row>
    <row r="818" spans="1:14" x14ac:dyDescent="0.25">
      <c r="A818"/>
      <c r="B818"/>
      <c r="I818"/>
      <c r="J818"/>
      <c r="K818" t="str">
        <f>HYPERLINK("http://www8.mpce.mp.br/Empenhos/150501/NE/2024NE001092.pdf","2024NE001092")</f>
        <v>2024NE001092</v>
      </c>
      <c r="L818" s="13">
        <v>19378.669999999998</v>
      </c>
      <c r="M818" t="s">
        <v>263</v>
      </c>
      <c r="N818">
        <v>3888247000184</v>
      </c>
    </row>
    <row r="819" spans="1:14" x14ac:dyDescent="0.25">
      <c r="A819"/>
      <c r="B819"/>
      <c r="I819"/>
      <c r="J819"/>
      <c r="K819" t="str">
        <f>HYPERLINK("http://www8.mpce.mp.br/Empenhos/150501/NE/2024NE001093.pdf","2024NE001093")</f>
        <v>2024NE001093</v>
      </c>
      <c r="L819">
        <v>729.9</v>
      </c>
      <c r="M819" t="s">
        <v>144</v>
      </c>
      <c r="N819">
        <v>22588967000179</v>
      </c>
    </row>
    <row r="820" spans="1:14" x14ac:dyDescent="0.25">
      <c r="A820"/>
      <c r="B820"/>
      <c r="I820"/>
      <c r="J820"/>
      <c r="K820" t="str">
        <f>HYPERLINK("http://www8.mpce.mp.br/Empenhos/150501/NE/2024NE001094.pdf","2024NE001094")</f>
        <v>2024NE001094</v>
      </c>
      <c r="L820">
        <v>457.11</v>
      </c>
      <c r="M820" t="s">
        <v>144</v>
      </c>
      <c r="N820">
        <v>22588967000179</v>
      </c>
    </row>
    <row r="821" spans="1:14" x14ac:dyDescent="0.25">
      <c r="A821"/>
      <c r="B821"/>
      <c r="I821"/>
      <c r="J821"/>
      <c r="K821" t="str">
        <f>HYPERLINK("http://www8.mpce.mp.br/Empenhos/150501/NE/2024NE001095.pdf","2024NE001095")</f>
        <v>2024NE001095</v>
      </c>
      <c r="L821" s="13">
        <v>71000</v>
      </c>
      <c r="M821" t="s">
        <v>244</v>
      </c>
      <c r="N821">
        <v>3773788000167</v>
      </c>
    </row>
    <row r="822" spans="1:14" x14ac:dyDescent="0.25">
      <c r="A822"/>
      <c r="B822"/>
      <c r="I822"/>
      <c r="J822"/>
      <c r="K822" t="str">
        <f>HYPERLINK("http://www8.mpce.mp.br/Empenhos/150501/NE/2024NE001095.pdf","2024NE001095")</f>
        <v>2024NE001095</v>
      </c>
      <c r="L822" s="13">
        <v>71000</v>
      </c>
      <c r="M822" t="s">
        <v>244</v>
      </c>
      <c r="N822">
        <v>3773788000167</v>
      </c>
    </row>
    <row r="823" spans="1:14" x14ac:dyDescent="0.25">
      <c r="A823"/>
      <c r="B823"/>
      <c r="I823"/>
      <c r="J823"/>
      <c r="K823" t="str">
        <f>HYPERLINK("http://www8.mpce.mp.br/Empenhos/150501/NE/2024NE001095.pdf","2024NE001095")</f>
        <v>2024NE001095</v>
      </c>
      <c r="L823" s="13">
        <v>71000</v>
      </c>
      <c r="M823" t="s">
        <v>244</v>
      </c>
      <c r="N823">
        <v>3773788000167</v>
      </c>
    </row>
    <row r="824" spans="1:14" x14ac:dyDescent="0.25">
      <c r="A824"/>
      <c r="B824"/>
      <c r="I824"/>
      <c r="J824"/>
      <c r="K824" t="str">
        <f t="shared" ref="K824:K833" si="11">HYPERLINK("http://www8.mpce.mp.br/Empenhos/150501/NE/2024NE001096.pdf","2024NE001096")</f>
        <v>2024NE001096</v>
      </c>
      <c r="L824" s="13">
        <v>104500</v>
      </c>
      <c r="M824" t="s">
        <v>72</v>
      </c>
      <c r="N824">
        <v>82845322000104</v>
      </c>
    </row>
    <row r="825" spans="1:14" x14ac:dyDescent="0.25">
      <c r="A825"/>
      <c r="B825"/>
      <c r="I825"/>
      <c r="J825"/>
      <c r="K825" t="str">
        <f t="shared" si="11"/>
        <v>2024NE001096</v>
      </c>
      <c r="L825" s="13">
        <v>104500</v>
      </c>
      <c r="M825" t="s">
        <v>72</v>
      </c>
      <c r="N825">
        <v>82845322000104</v>
      </c>
    </row>
    <row r="826" spans="1:14" x14ac:dyDescent="0.25">
      <c r="A826"/>
      <c r="B826"/>
      <c r="I826"/>
      <c r="J826"/>
      <c r="K826" t="str">
        <f t="shared" si="11"/>
        <v>2024NE001096</v>
      </c>
      <c r="L826" s="13">
        <v>104500</v>
      </c>
      <c r="M826" t="s">
        <v>72</v>
      </c>
      <c r="N826">
        <v>82845322000104</v>
      </c>
    </row>
    <row r="827" spans="1:14" x14ac:dyDescent="0.25">
      <c r="A827"/>
      <c r="B827"/>
      <c r="I827"/>
      <c r="J827"/>
      <c r="K827" t="str">
        <f t="shared" si="11"/>
        <v>2024NE001096</v>
      </c>
      <c r="L827" s="13">
        <v>104500</v>
      </c>
      <c r="M827" t="s">
        <v>72</v>
      </c>
      <c r="N827">
        <v>82845322000104</v>
      </c>
    </row>
    <row r="828" spans="1:14" x14ac:dyDescent="0.25">
      <c r="A828"/>
      <c r="B828"/>
      <c r="I828"/>
      <c r="J828"/>
      <c r="K828" t="str">
        <f t="shared" si="11"/>
        <v>2024NE001096</v>
      </c>
      <c r="L828" s="13">
        <v>104500</v>
      </c>
      <c r="M828" t="s">
        <v>72</v>
      </c>
      <c r="N828">
        <v>82845322000104</v>
      </c>
    </row>
    <row r="829" spans="1:14" x14ac:dyDescent="0.25">
      <c r="A829"/>
      <c r="B829"/>
      <c r="I829"/>
      <c r="J829"/>
      <c r="K829" t="str">
        <f t="shared" si="11"/>
        <v>2024NE001096</v>
      </c>
      <c r="L829" s="13">
        <v>104500</v>
      </c>
      <c r="M829" t="s">
        <v>72</v>
      </c>
      <c r="N829">
        <v>82845322000104</v>
      </c>
    </row>
    <row r="830" spans="1:14" x14ac:dyDescent="0.25">
      <c r="A830"/>
      <c r="B830"/>
      <c r="I830"/>
      <c r="J830"/>
      <c r="K830" t="str">
        <f t="shared" si="11"/>
        <v>2024NE001096</v>
      </c>
      <c r="L830" s="13">
        <v>104500</v>
      </c>
      <c r="M830" t="s">
        <v>72</v>
      </c>
      <c r="N830">
        <v>82845322000104</v>
      </c>
    </row>
    <row r="831" spans="1:14" x14ac:dyDescent="0.25">
      <c r="A831"/>
      <c r="B831"/>
      <c r="I831"/>
      <c r="J831"/>
      <c r="K831" t="str">
        <f t="shared" si="11"/>
        <v>2024NE001096</v>
      </c>
      <c r="L831" s="13">
        <v>104500</v>
      </c>
      <c r="M831" t="s">
        <v>72</v>
      </c>
      <c r="N831">
        <v>82845322000104</v>
      </c>
    </row>
    <row r="832" spans="1:14" x14ac:dyDescent="0.25">
      <c r="A832"/>
      <c r="B832"/>
      <c r="I832"/>
      <c r="J832"/>
      <c r="K832" t="str">
        <f t="shared" si="11"/>
        <v>2024NE001096</v>
      </c>
      <c r="L832" s="13">
        <v>104500</v>
      </c>
      <c r="M832" t="s">
        <v>72</v>
      </c>
      <c r="N832">
        <v>82845322000104</v>
      </c>
    </row>
    <row r="833" spans="1:14" x14ac:dyDescent="0.25">
      <c r="A833"/>
      <c r="B833"/>
      <c r="I833"/>
      <c r="J833"/>
      <c r="K833" t="str">
        <f t="shared" si="11"/>
        <v>2024NE001096</v>
      </c>
      <c r="L833" s="13">
        <v>104500</v>
      </c>
      <c r="M833" t="s">
        <v>72</v>
      </c>
      <c r="N833">
        <v>82845322000104</v>
      </c>
    </row>
    <row r="834" spans="1:14" x14ac:dyDescent="0.25">
      <c r="A834"/>
      <c r="B834"/>
      <c r="I834"/>
      <c r="J834"/>
      <c r="K834" t="str">
        <f t="shared" ref="K834:K843" si="12">HYPERLINK("http://www8.mpce.mp.br/Empenhos/150501/NE/2024NE001097.pdf","2024NE001097")</f>
        <v>2024NE001097</v>
      </c>
      <c r="L834" s="13">
        <v>13896.9</v>
      </c>
      <c r="M834" t="s">
        <v>72</v>
      </c>
      <c r="N834">
        <v>82845322000104</v>
      </c>
    </row>
    <row r="835" spans="1:14" x14ac:dyDescent="0.25">
      <c r="A835"/>
      <c r="B835"/>
      <c r="I835"/>
      <c r="J835"/>
      <c r="K835" t="str">
        <f t="shared" si="12"/>
        <v>2024NE001097</v>
      </c>
      <c r="L835" s="13">
        <v>13896.9</v>
      </c>
      <c r="M835" t="s">
        <v>72</v>
      </c>
      <c r="N835">
        <v>82845322000104</v>
      </c>
    </row>
    <row r="836" spans="1:14" x14ac:dyDescent="0.25">
      <c r="A836"/>
      <c r="B836"/>
      <c r="I836"/>
      <c r="J836"/>
      <c r="K836" t="str">
        <f t="shared" si="12"/>
        <v>2024NE001097</v>
      </c>
      <c r="L836" s="13">
        <v>13896.9</v>
      </c>
      <c r="M836" t="s">
        <v>72</v>
      </c>
      <c r="N836">
        <v>82845322000104</v>
      </c>
    </row>
    <row r="837" spans="1:14" x14ac:dyDescent="0.25">
      <c r="A837"/>
      <c r="B837"/>
      <c r="I837"/>
      <c r="J837"/>
      <c r="K837" t="str">
        <f t="shared" si="12"/>
        <v>2024NE001097</v>
      </c>
      <c r="L837" s="13">
        <v>13896.9</v>
      </c>
      <c r="M837" t="s">
        <v>72</v>
      </c>
      <c r="N837">
        <v>82845322000104</v>
      </c>
    </row>
    <row r="838" spans="1:14" x14ac:dyDescent="0.25">
      <c r="A838"/>
      <c r="B838"/>
      <c r="I838"/>
      <c r="J838"/>
      <c r="K838" t="str">
        <f t="shared" si="12"/>
        <v>2024NE001097</v>
      </c>
      <c r="L838" s="13">
        <v>13896.9</v>
      </c>
      <c r="M838" t="s">
        <v>72</v>
      </c>
      <c r="N838">
        <v>82845322000104</v>
      </c>
    </row>
    <row r="839" spans="1:14" x14ac:dyDescent="0.25">
      <c r="A839"/>
      <c r="B839"/>
      <c r="I839"/>
      <c r="J839"/>
      <c r="K839" t="str">
        <f t="shared" si="12"/>
        <v>2024NE001097</v>
      </c>
      <c r="L839" s="13">
        <v>13896.9</v>
      </c>
      <c r="M839" t="s">
        <v>72</v>
      </c>
      <c r="N839">
        <v>82845322000104</v>
      </c>
    </row>
    <row r="840" spans="1:14" x14ac:dyDescent="0.25">
      <c r="A840"/>
      <c r="B840"/>
      <c r="I840"/>
      <c r="J840"/>
      <c r="K840" t="str">
        <f t="shared" si="12"/>
        <v>2024NE001097</v>
      </c>
      <c r="L840" s="13">
        <v>13896.9</v>
      </c>
      <c r="M840" t="s">
        <v>72</v>
      </c>
      <c r="N840">
        <v>82845322000104</v>
      </c>
    </row>
    <row r="841" spans="1:14" x14ac:dyDescent="0.25">
      <c r="A841"/>
      <c r="B841"/>
      <c r="I841"/>
      <c r="J841"/>
      <c r="K841" t="str">
        <f t="shared" si="12"/>
        <v>2024NE001097</v>
      </c>
      <c r="L841" s="13">
        <v>13896.9</v>
      </c>
      <c r="M841" t="s">
        <v>72</v>
      </c>
      <c r="N841">
        <v>82845322000104</v>
      </c>
    </row>
    <row r="842" spans="1:14" x14ac:dyDescent="0.25">
      <c r="A842"/>
      <c r="B842"/>
      <c r="I842"/>
      <c r="J842"/>
      <c r="K842" t="str">
        <f t="shared" si="12"/>
        <v>2024NE001097</v>
      </c>
      <c r="L842" s="13">
        <v>13896.9</v>
      </c>
      <c r="M842" t="s">
        <v>72</v>
      </c>
      <c r="N842">
        <v>82845322000104</v>
      </c>
    </row>
    <row r="843" spans="1:14" x14ac:dyDescent="0.25">
      <c r="A843"/>
      <c r="B843"/>
      <c r="I843"/>
      <c r="J843"/>
      <c r="K843" t="str">
        <f t="shared" si="12"/>
        <v>2024NE001097</v>
      </c>
      <c r="L843" s="13">
        <v>13896.9</v>
      </c>
      <c r="M843" t="s">
        <v>72</v>
      </c>
      <c r="N843">
        <v>82845322000104</v>
      </c>
    </row>
    <row r="844" spans="1:14" x14ac:dyDescent="0.25">
      <c r="A844"/>
      <c r="B844"/>
      <c r="I844"/>
      <c r="J844"/>
      <c r="K844" t="str">
        <f t="shared" ref="K844:K853" si="13">HYPERLINK("http://www8.mpce.mp.br/Empenhos/150501/NE/2024NE001098.pdf","2024NE001098")</f>
        <v>2024NE001098</v>
      </c>
      <c r="L844" s="13">
        <v>109229.6</v>
      </c>
      <c r="M844" t="s">
        <v>72</v>
      </c>
      <c r="N844">
        <v>82845322000104</v>
      </c>
    </row>
    <row r="845" spans="1:14" x14ac:dyDescent="0.25">
      <c r="A845"/>
      <c r="B845"/>
      <c r="I845"/>
      <c r="J845"/>
      <c r="K845" t="str">
        <f t="shared" si="13"/>
        <v>2024NE001098</v>
      </c>
      <c r="L845" s="13">
        <v>109229.6</v>
      </c>
      <c r="M845" t="s">
        <v>72</v>
      </c>
      <c r="N845">
        <v>82845322000104</v>
      </c>
    </row>
    <row r="846" spans="1:14" x14ac:dyDescent="0.25">
      <c r="A846"/>
      <c r="B846"/>
      <c r="I846"/>
      <c r="J846"/>
      <c r="K846" t="str">
        <f t="shared" si="13"/>
        <v>2024NE001098</v>
      </c>
      <c r="L846" s="13">
        <v>109229.6</v>
      </c>
      <c r="M846" t="s">
        <v>72</v>
      </c>
      <c r="N846">
        <v>82845322000104</v>
      </c>
    </row>
    <row r="847" spans="1:14" x14ac:dyDescent="0.25">
      <c r="A847"/>
      <c r="B847"/>
      <c r="I847"/>
      <c r="J847"/>
      <c r="K847" t="str">
        <f t="shared" si="13"/>
        <v>2024NE001098</v>
      </c>
      <c r="L847" s="13">
        <v>109229.6</v>
      </c>
      <c r="M847" t="s">
        <v>72</v>
      </c>
      <c r="N847">
        <v>82845322000104</v>
      </c>
    </row>
    <row r="848" spans="1:14" x14ac:dyDescent="0.25">
      <c r="A848"/>
      <c r="B848"/>
      <c r="I848"/>
      <c r="J848"/>
      <c r="K848" t="str">
        <f t="shared" si="13"/>
        <v>2024NE001098</v>
      </c>
      <c r="L848" s="13">
        <v>109229.6</v>
      </c>
      <c r="M848" t="s">
        <v>72</v>
      </c>
      <c r="N848">
        <v>82845322000104</v>
      </c>
    </row>
    <row r="849" spans="1:14" x14ac:dyDescent="0.25">
      <c r="A849"/>
      <c r="B849"/>
      <c r="I849"/>
      <c r="J849"/>
      <c r="K849" t="str">
        <f t="shared" si="13"/>
        <v>2024NE001098</v>
      </c>
      <c r="L849" s="13">
        <v>109229.6</v>
      </c>
      <c r="M849" t="s">
        <v>72</v>
      </c>
      <c r="N849">
        <v>82845322000104</v>
      </c>
    </row>
    <row r="850" spans="1:14" x14ac:dyDescent="0.25">
      <c r="A850"/>
      <c r="B850"/>
      <c r="I850"/>
      <c r="J850"/>
      <c r="K850" t="str">
        <f t="shared" si="13"/>
        <v>2024NE001098</v>
      </c>
      <c r="L850" s="13">
        <v>109229.6</v>
      </c>
      <c r="M850" t="s">
        <v>72</v>
      </c>
      <c r="N850">
        <v>82845322000104</v>
      </c>
    </row>
    <row r="851" spans="1:14" x14ac:dyDescent="0.25">
      <c r="A851"/>
      <c r="B851"/>
      <c r="I851"/>
      <c r="J851"/>
      <c r="K851" t="str">
        <f t="shared" si="13"/>
        <v>2024NE001098</v>
      </c>
      <c r="L851" s="13">
        <v>109229.6</v>
      </c>
      <c r="M851" t="s">
        <v>72</v>
      </c>
      <c r="N851">
        <v>82845322000104</v>
      </c>
    </row>
    <row r="852" spans="1:14" x14ac:dyDescent="0.25">
      <c r="A852"/>
      <c r="B852"/>
      <c r="I852"/>
      <c r="J852"/>
      <c r="K852" t="str">
        <f t="shared" si="13"/>
        <v>2024NE001098</v>
      </c>
      <c r="L852" s="13">
        <v>109229.6</v>
      </c>
      <c r="M852" t="s">
        <v>72</v>
      </c>
      <c r="N852">
        <v>82845322000104</v>
      </c>
    </row>
    <row r="853" spans="1:14" x14ac:dyDescent="0.25">
      <c r="A853"/>
      <c r="B853"/>
      <c r="I853"/>
      <c r="J853"/>
      <c r="K853" t="str">
        <f t="shared" si="13"/>
        <v>2024NE001098</v>
      </c>
      <c r="L853" s="13">
        <v>109229.6</v>
      </c>
      <c r="M853" t="s">
        <v>72</v>
      </c>
      <c r="N853">
        <v>82845322000104</v>
      </c>
    </row>
    <row r="854" spans="1:14" x14ac:dyDescent="0.25">
      <c r="A854"/>
      <c r="B854"/>
      <c r="I854"/>
      <c r="J854"/>
      <c r="K854" t="str">
        <f t="shared" ref="K854:K863" si="14">HYPERLINK("http://www8.mpce.mp.br/Empenhos/150501/NE/2024NE001099.pdf","2024NE001099")</f>
        <v>2024NE001099</v>
      </c>
      <c r="L854" s="13">
        <v>82608</v>
      </c>
      <c r="M854" t="s">
        <v>72</v>
      </c>
      <c r="N854">
        <v>82845322000104</v>
      </c>
    </row>
    <row r="855" spans="1:14" x14ac:dyDescent="0.25">
      <c r="A855"/>
      <c r="B855"/>
      <c r="I855"/>
      <c r="J855"/>
      <c r="K855" t="str">
        <f t="shared" si="14"/>
        <v>2024NE001099</v>
      </c>
      <c r="L855" s="13">
        <v>82608</v>
      </c>
      <c r="M855" t="s">
        <v>72</v>
      </c>
      <c r="N855">
        <v>82845322000104</v>
      </c>
    </row>
    <row r="856" spans="1:14" x14ac:dyDescent="0.25">
      <c r="A856"/>
      <c r="B856"/>
      <c r="I856"/>
      <c r="J856"/>
      <c r="K856" t="str">
        <f t="shared" si="14"/>
        <v>2024NE001099</v>
      </c>
      <c r="L856" s="13">
        <v>82608</v>
      </c>
      <c r="M856" t="s">
        <v>72</v>
      </c>
      <c r="N856">
        <v>82845322000104</v>
      </c>
    </row>
    <row r="857" spans="1:14" x14ac:dyDescent="0.25">
      <c r="A857"/>
      <c r="B857"/>
      <c r="I857"/>
      <c r="J857"/>
      <c r="K857" t="str">
        <f t="shared" si="14"/>
        <v>2024NE001099</v>
      </c>
      <c r="L857" s="13">
        <v>82608</v>
      </c>
      <c r="M857" t="s">
        <v>72</v>
      </c>
      <c r="N857">
        <v>82845322000104</v>
      </c>
    </row>
    <row r="858" spans="1:14" x14ac:dyDescent="0.25">
      <c r="A858"/>
      <c r="B858"/>
      <c r="I858"/>
      <c r="J858"/>
      <c r="K858" t="str">
        <f t="shared" si="14"/>
        <v>2024NE001099</v>
      </c>
      <c r="L858" s="13">
        <v>82608</v>
      </c>
      <c r="M858" t="s">
        <v>72</v>
      </c>
      <c r="N858">
        <v>82845322000104</v>
      </c>
    </row>
    <row r="859" spans="1:14" x14ac:dyDescent="0.25">
      <c r="A859"/>
      <c r="B859"/>
      <c r="I859"/>
      <c r="J859"/>
      <c r="K859" t="str">
        <f t="shared" si="14"/>
        <v>2024NE001099</v>
      </c>
      <c r="L859" s="13">
        <v>82608</v>
      </c>
      <c r="M859" t="s">
        <v>72</v>
      </c>
      <c r="N859">
        <v>82845322000104</v>
      </c>
    </row>
    <row r="860" spans="1:14" x14ac:dyDescent="0.25">
      <c r="A860"/>
      <c r="B860"/>
      <c r="I860"/>
      <c r="J860"/>
      <c r="K860" t="str">
        <f t="shared" si="14"/>
        <v>2024NE001099</v>
      </c>
      <c r="L860" s="13">
        <v>82608</v>
      </c>
      <c r="M860" t="s">
        <v>72</v>
      </c>
      <c r="N860">
        <v>82845322000104</v>
      </c>
    </row>
    <row r="861" spans="1:14" x14ac:dyDescent="0.25">
      <c r="A861"/>
      <c r="B861"/>
      <c r="I861"/>
      <c r="J861"/>
      <c r="K861" t="str">
        <f t="shared" si="14"/>
        <v>2024NE001099</v>
      </c>
      <c r="L861" s="13">
        <v>82608</v>
      </c>
      <c r="M861" t="s">
        <v>72</v>
      </c>
      <c r="N861">
        <v>82845322000104</v>
      </c>
    </row>
    <row r="862" spans="1:14" x14ac:dyDescent="0.25">
      <c r="A862"/>
      <c r="B862"/>
      <c r="I862"/>
      <c r="J862"/>
      <c r="K862" t="str">
        <f t="shared" si="14"/>
        <v>2024NE001099</v>
      </c>
      <c r="L862" s="13">
        <v>82608</v>
      </c>
      <c r="M862" t="s">
        <v>72</v>
      </c>
      <c r="N862">
        <v>82845322000104</v>
      </c>
    </row>
    <row r="863" spans="1:14" x14ac:dyDescent="0.25">
      <c r="A863"/>
      <c r="B863"/>
      <c r="I863"/>
      <c r="J863"/>
      <c r="K863" t="str">
        <f t="shared" si="14"/>
        <v>2024NE001099</v>
      </c>
      <c r="L863" s="13">
        <v>82608</v>
      </c>
      <c r="M863" t="s">
        <v>72</v>
      </c>
      <c r="N863">
        <v>82845322000104</v>
      </c>
    </row>
    <row r="864" spans="1:14" x14ac:dyDescent="0.25">
      <c r="A864"/>
      <c r="B864"/>
      <c r="I864"/>
      <c r="J864"/>
      <c r="K864" t="str">
        <f t="shared" ref="K864:K873" si="15">HYPERLINK("http://www8.mpce.mp.br/Empenhos/150501/NE/2024NE001100.pdf","2024NE001100")</f>
        <v>2024NE001100</v>
      </c>
      <c r="L864" s="13">
        <v>72857</v>
      </c>
      <c r="M864" t="s">
        <v>72</v>
      </c>
      <c r="N864">
        <v>82845322000104</v>
      </c>
    </row>
    <row r="865" spans="1:14" x14ac:dyDescent="0.25">
      <c r="A865"/>
      <c r="B865"/>
      <c r="I865"/>
      <c r="J865"/>
      <c r="K865" t="str">
        <f t="shared" si="15"/>
        <v>2024NE001100</v>
      </c>
      <c r="L865" s="13">
        <v>72857</v>
      </c>
      <c r="M865" t="s">
        <v>72</v>
      </c>
      <c r="N865">
        <v>82845322000104</v>
      </c>
    </row>
    <row r="866" spans="1:14" x14ac:dyDescent="0.25">
      <c r="A866"/>
      <c r="B866"/>
      <c r="I866"/>
      <c r="J866"/>
      <c r="K866" t="str">
        <f t="shared" si="15"/>
        <v>2024NE001100</v>
      </c>
      <c r="L866" s="13">
        <v>72857</v>
      </c>
      <c r="M866" t="s">
        <v>72</v>
      </c>
      <c r="N866">
        <v>82845322000104</v>
      </c>
    </row>
    <row r="867" spans="1:14" x14ac:dyDescent="0.25">
      <c r="A867"/>
      <c r="B867"/>
      <c r="I867"/>
      <c r="J867"/>
      <c r="K867" t="str">
        <f t="shared" si="15"/>
        <v>2024NE001100</v>
      </c>
      <c r="L867" s="13">
        <v>72857</v>
      </c>
      <c r="M867" t="s">
        <v>72</v>
      </c>
      <c r="N867">
        <v>82845322000104</v>
      </c>
    </row>
    <row r="868" spans="1:14" x14ac:dyDescent="0.25">
      <c r="A868"/>
      <c r="B868"/>
      <c r="I868"/>
      <c r="J868"/>
      <c r="K868" t="str">
        <f t="shared" si="15"/>
        <v>2024NE001100</v>
      </c>
      <c r="L868" s="13">
        <v>72857</v>
      </c>
      <c r="M868" t="s">
        <v>72</v>
      </c>
      <c r="N868">
        <v>82845322000104</v>
      </c>
    </row>
    <row r="869" spans="1:14" x14ac:dyDescent="0.25">
      <c r="A869"/>
      <c r="B869"/>
      <c r="I869"/>
      <c r="J869"/>
      <c r="K869" t="str">
        <f t="shared" si="15"/>
        <v>2024NE001100</v>
      </c>
      <c r="L869" s="13">
        <v>72857</v>
      </c>
      <c r="M869" t="s">
        <v>72</v>
      </c>
      <c r="N869">
        <v>82845322000104</v>
      </c>
    </row>
    <row r="870" spans="1:14" x14ac:dyDescent="0.25">
      <c r="A870"/>
      <c r="B870"/>
      <c r="I870"/>
      <c r="J870"/>
      <c r="K870" t="str">
        <f t="shared" si="15"/>
        <v>2024NE001100</v>
      </c>
      <c r="L870" s="13">
        <v>72857</v>
      </c>
      <c r="M870" t="s">
        <v>72</v>
      </c>
      <c r="N870">
        <v>82845322000104</v>
      </c>
    </row>
    <row r="871" spans="1:14" x14ac:dyDescent="0.25">
      <c r="A871"/>
      <c r="B871"/>
      <c r="I871"/>
      <c r="J871"/>
      <c r="K871" t="str">
        <f t="shared" si="15"/>
        <v>2024NE001100</v>
      </c>
      <c r="L871" s="13">
        <v>72857</v>
      </c>
      <c r="M871" t="s">
        <v>72</v>
      </c>
      <c r="N871">
        <v>82845322000104</v>
      </c>
    </row>
    <row r="872" spans="1:14" x14ac:dyDescent="0.25">
      <c r="A872"/>
      <c r="B872"/>
      <c r="I872"/>
      <c r="J872"/>
      <c r="K872" t="str">
        <f t="shared" si="15"/>
        <v>2024NE001100</v>
      </c>
      <c r="L872" s="13">
        <v>72857</v>
      </c>
      <c r="M872" t="s">
        <v>72</v>
      </c>
      <c r="N872">
        <v>82845322000104</v>
      </c>
    </row>
    <row r="873" spans="1:14" x14ac:dyDescent="0.25">
      <c r="A873"/>
      <c r="B873"/>
      <c r="I873"/>
      <c r="J873"/>
      <c r="K873" t="str">
        <f t="shared" si="15"/>
        <v>2024NE001100</v>
      </c>
      <c r="L873" s="13">
        <v>72857</v>
      </c>
      <c r="M873" t="s">
        <v>72</v>
      </c>
      <c r="N873">
        <v>82845322000104</v>
      </c>
    </row>
    <row r="874" spans="1:14" x14ac:dyDescent="0.25">
      <c r="A874"/>
      <c r="B874"/>
      <c r="I874"/>
      <c r="J874"/>
      <c r="K874" t="str">
        <f t="shared" ref="K874:K883" si="16">HYPERLINK("http://www8.mpce.mp.br/Empenhos/150501/NE/2024NE001106.pdf","2024NE001106")</f>
        <v>2024NE001106</v>
      </c>
      <c r="L874" s="13">
        <v>153428</v>
      </c>
      <c r="M874" t="s">
        <v>72</v>
      </c>
      <c r="N874">
        <v>82845322000104</v>
      </c>
    </row>
    <row r="875" spans="1:14" x14ac:dyDescent="0.25">
      <c r="A875"/>
      <c r="B875"/>
      <c r="I875"/>
      <c r="J875"/>
      <c r="K875" t="str">
        <f t="shared" si="16"/>
        <v>2024NE001106</v>
      </c>
      <c r="L875" s="13">
        <v>153428</v>
      </c>
      <c r="M875" t="s">
        <v>72</v>
      </c>
      <c r="N875">
        <v>82845322000104</v>
      </c>
    </row>
    <row r="876" spans="1:14" x14ac:dyDescent="0.25">
      <c r="A876"/>
      <c r="B876"/>
      <c r="I876"/>
      <c r="J876"/>
      <c r="K876" t="str">
        <f t="shared" si="16"/>
        <v>2024NE001106</v>
      </c>
      <c r="L876" s="13">
        <v>153428</v>
      </c>
      <c r="M876" t="s">
        <v>72</v>
      </c>
      <c r="N876">
        <v>82845322000104</v>
      </c>
    </row>
    <row r="877" spans="1:14" x14ac:dyDescent="0.25">
      <c r="A877"/>
      <c r="B877"/>
      <c r="I877"/>
      <c r="J877"/>
      <c r="K877" t="str">
        <f t="shared" si="16"/>
        <v>2024NE001106</v>
      </c>
      <c r="L877" s="13">
        <v>153428</v>
      </c>
      <c r="M877" t="s">
        <v>72</v>
      </c>
      <c r="N877">
        <v>82845322000104</v>
      </c>
    </row>
    <row r="878" spans="1:14" x14ac:dyDescent="0.25">
      <c r="A878"/>
      <c r="B878"/>
      <c r="I878"/>
      <c r="J878"/>
      <c r="K878" t="str">
        <f t="shared" si="16"/>
        <v>2024NE001106</v>
      </c>
      <c r="L878" s="13">
        <v>153428</v>
      </c>
      <c r="M878" t="s">
        <v>72</v>
      </c>
      <c r="N878">
        <v>82845322000104</v>
      </c>
    </row>
    <row r="879" spans="1:14" x14ac:dyDescent="0.25">
      <c r="A879"/>
      <c r="B879"/>
      <c r="I879"/>
      <c r="J879"/>
      <c r="K879" t="str">
        <f t="shared" si="16"/>
        <v>2024NE001106</v>
      </c>
      <c r="L879" s="13">
        <v>153428</v>
      </c>
      <c r="M879" t="s">
        <v>72</v>
      </c>
      <c r="N879">
        <v>82845322000104</v>
      </c>
    </row>
    <row r="880" spans="1:14" x14ac:dyDescent="0.25">
      <c r="A880"/>
      <c r="B880"/>
      <c r="I880"/>
      <c r="J880"/>
      <c r="K880" t="str">
        <f t="shared" si="16"/>
        <v>2024NE001106</v>
      </c>
      <c r="L880" s="13">
        <v>153428</v>
      </c>
      <c r="M880" t="s">
        <v>72</v>
      </c>
      <c r="N880">
        <v>82845322000104</v>
      </c>
    </row>
    <row r="881" spans="1:14" x14ac:dyDescent="0.25">
      <c r="A881"/>
      <c r="B881"/>
      <c r="I881"/>
      <c r="J881"/>
      <c r="K881" t="str">
        <f t="shared" si="16"/>
        <v>2024NE001106</v>
      </c>
      <c r="L881" s="13">
        <v>153428</v>
      </c>
      <c r="M881" t="s">
        <v>72</v>
      </c>
      <c r="N881">
        <v>82845322000104</v>
      </c>
    </row>
    <row r="882" spans="1:14" x14ac:dyDescent="0.25">
      <c r="A882"/>
      <c r="B882"/>
      <c r="I882"/>
      <c r="J882"/>
      <c r="K882" t="str">
        <f t="shared" si="16"/>
        <v>2024NE001106</v>
      </c>
      <c r="L882" s="13">
        <v>153428</v>
      </c>
      <c r="M882" t="s">
        <v>72</v>
      </c>
      <c r="N882">
        <v>82845322000104</v>
      </c>
    </row>
    <row r="883" spans="1:14" x14ac:dyDescent="0.25">
      <c r="A883"/>
      <c r="B883"/>
      <c r="I883"/>
      <c r="J883"/>
      <c r="K883" t="str">
        <f t="shared" si="16"/>
        <v>2024NE001106</v>
      </c>
      <c r="L883" s="13">
        <v>153428</v>
      </c>
      <c r="M883" t="s">
        <v>72</v>
      </c>
      <c r="N883">
        <v>82845322000104</v>
      </c>
    </row>
    <row r="884" spans="1:14" x14ac:dyDescent="0.25">
      <c r="A884"/>
      <c r="B884"/>
      <c r="I884"/>
      <c r="J884"/>
      <c r="K884" t="str">
        <f>HYPERLINK("http://www8.mpce.mp.br/Empenhos/150501/NE/2024NE001124.pdf","2024NE001124")</f>
        <v>2024NE001124</v>
      </c>
      <c r="L884" s="13">
        <v>172101.36</v>
      </c>
      <c r="M884" t="s">
        <v>247</v>
      </c>
      <c r="N884">
        <v>5757597000218</v>
      </c>
    </row>
    <row r="885" spans="1:14" x14ac:dyDescent="0.25">
      <c r="A885"/>
      <c r="B885"/>
      <c r="I885"/>
      <c r="J885"/>
      <c r="K885" t="str">
        <f>HYPERLINK("http://www8.mpce.mp.br/Empenhos/150501/NE/2024NE001128.pdf","2024NE001128")</f>
        <v>2024NE001128</v>
      </c>
      <c r="L885" s="13">
        <v>131670</v>
      </c>
      <c r="M885" t="s">
        <v>247</v>
      </c>
      <c r="N885">
        <v>5757597000218</v>
      </c>
    </row>
    <row r="886" spans="1:14" x14ac:dyDescent="0.25">
      <c r="A886"/>
      <c r="B886"/>
      <c r="I886"/>
      <c r="J886"/>
      <c r="K886" t="str">
        <f>HYPERLINK("http://www8.mpce.mp.br/Empenhos/150501/NE/2024NE001128.pdf","2024NE001128")</f>
        <v>2024NE001128</v>
      </c>
      <c r="L886" s="13">
        <v>131670</v>
      </c>
      <c r="M886" t="s">
        <v>247</v>
      </c>
      <c r="N886">
        <v>5757597000218</v>
      </c>
    </row>
    <row r="887" spans="1:14" x14ac:dyDescent="0.25">
      <c r="A887"/>
      <c r="B887"/>
      <c r="I887"/>
      <c r="J887"/>
      <c r="K887" t="str">
        <f>HYPERLINK("http://www8.mpce.mp.br/Empenhos/150501/NE/2024NE001128.pdf","2024NE001128")</f>
        <v>2024NE001128</v>
      </c>
      <c r="L887" s="13">
        <v>131670</v>
      </c>
      <c r="M887" t="s">
        <v>247</v>
      </c>
      <c r="N887">
        <v>5757597000218</v>
      </c>
    </row>
    <row r="888" spans="1:14" x14ac:dyDescent="0.25">
      <c r="A888"/>
      <c r="B888"/>
      <c r="I888"/>
      <c r="J888"/>
      <c r="K888" t="str">
        <f>HYPERLINK("http://www8.mpce.mp.br/Empenhos/150501/NE/2024NE001152.pdf","2024NE001152")</f>
        <v>2024NE001152</v>
      </c>
      <c r="L888" s="13">
        <v>2500</v>
      </c>
      <c r="M888" t="s">
        <v>195</v>
      </c>
      <c r="N888">
        <v>7136315387</v>
      </c>
    </row>
    <row r="889" spans="1:14" x14ac:dyDescent="0.25">
      <c r="A889"/>
      <c r="B889"/>
      <c r="I889"/>
      <c r="J889"/>
      <c r="K889" t="str">
        <f>HYPERLINK("http://www8.mpce.mp.br/Empenhos/150001/NE/2024NE001153.pdf","2024NE001153")</f>
        <v>2024NE001153</v>
      </c>
      <c r="L889" s="13">
        <v>2935</v>
      </c>
      <c r="M889" t="s">
        <v>559</v>
      </c>
      <c r="N889">
        <v>28801634000162</v>
      </c>
    </row>
    <row r="890" spans="1:14" x14ac:dyDescent="0.25">
      <c r="A890"/>
      <c r="B890"/>
      <c r="I890"/>
      <c r="J890"/>
      <c r="K890" t="str">
        <f>HYPERLINK("http://www8.mpce.mp.br/Empenhos/150501/NE/2024NE001153.pdf","2024NE001153")</f>
        <v>2024NE001153</v>
      </c>
      <c r="L890" s="13">
        <v>1640.35</v>
      </c>
      <c r="M890" t="s">
        <v>144</v>
      </c>
      <c r="N890">
        <v>22588967000179</v>
      </c>
    </row>
    <row r="891" spans="1:14" x14ac:dyDescent="0.25">
      <c r="A891"/>
      <c r="B891"/>
      <c r="I891"/>
      <c r="J891"/>
      <c r="K891" t="str">
        <f>HYPERLINK("http://www8.mpce.mp.br/Empenhos/150001/NE/2024NE001154.pdf","2024NE001154")</f>
        <v>2024NE001154</v>
      </c>
      <c r="L891" s="13">
        <v>7890</v>
      </c>
      <c r="M891" t="s">
        <v>562</v>
      </c>
      <c r="N891">
        <v>29101955000117</v>
      </c>
    </row>
    <row r="892" spans="1:14" x14ac:dyDescent="0.25">
      <c r="A892"/>
      <c r="B892"/>
      <c r="I892"/>
      <c r="J892"/>
      <c r="K892" t="str">
        <f>HYPERLINK("http://www8.mpce.mp.br/Empenhos/150501/NE/2024NE001154.pdf","2024NE001154")</f>
        <v>2024NE001154</v>
      </c>
      <c r="L892">
        <v>499.1</v>
      </c>
      <c r="M892" t="s">
        <v>144</v>
      </c>
      <c r="N892">
        <v>22588967000179</v>
      </c>
    </row>
    <row r="893" spans="1:14" x14ac:dyDescent="0.25">
      <c r="A893"/>
      <c r="B893"/>
      <c r="I893"/>
      <c r="J893"/>
      <c r="K893" t="str">
        <f>HYPERLINK("http://www8.mpce.mp.br/Empenhos/150001/NE/2024NE001155.pdf","2024NE001155")</f>
        <v>2024NE001155</v>
      </c>
      <c r="L893">
        <v>847</v>
      </c>
      <c r="M893" t="s">
        <v>566</v>
      </c>
      <c r="N893">
        <v>1722296000117</v>
      </c>
    </row>
    <row r="894" spans="1:14" x14ac:dyDescent="0.25">
      <c r="A894"/>
      <c r="B894"/>
      <c r="I894"/>
      <c r="J894"/>
      <c r="K894" t="str">
        <f>HYPERLINK("http://www8.mpce.mp.br/Empenhos/150001/NE/2024NE001156.pdf","2024NE001156")</f>
        <v>2024NE001156</v>
      </c>
      <c r="L894" s="13">
        <v>38108.46</v>
      </c>
      <c r="M894" t="s">
        <v>568</v>
      </c>
      <c r="N894">
        <v>9485574000171</v>
      </c>
    </row>
    <row r="895" spans="1:14" x14ac:dyDescent="0.25">
      <c r="A895"/>
      <c r="B895"/>
      <c r="I895"/>
      <c r="J895"/>
      <c r="K895" t="str">
        <f>HYPERLINK("http://www8.mpce.mp.br/Empenhos/150501/NE/2024NE001157.pdf","2024NE001157")</f>
        <v>2024NE001157</v>
      </c>
      <c r="L895" s="13">
        <v>1605.66</v>
      </c>
      <c r="M895" t="s">
        <v>144</v>
      </c>
      <c r="N895">
        <v>22588967000179</v>
      </c>
    </row>
    <row r="896" spans="1:14" x14ac:dyDescent="0.25">
      <c r="A896"/>
      <c r="B896"/>
      <c r="I896"/>
      <c r="J896"/>
      <c r="K896" t="str">
        <f>HYPERLINK("http://www8.mpce.mp.br/Empenhos/150501/NE/2024NE001158.pdf","2024NE001158")</f>
        <v>2024NE001158</v>
      </c>
      <c r="L896" s="13">
        <v>5546.1</v>
      </c>
      <c r="M896" t="s">
        <v>144</v>
      </c>
      <c r="N896">
        <v>22588967000179</v>
      </c>
    </row>
    <row r="897" spans="1:14" x14ac:dyDescent="0.25">
      <c r="A897"/>
      <c r="B897"/>
      <c r="I897"/>
      <c r="J897"/>
      <c r="K897" t="str">
        <f>HYPERLINK("http://www8.mpce.mp.br/Empenhos/150001/NE/2024NE001159.pdf","2024NE001159")</f>
        <v>2024NE001159</v>
      </c>
      <c r="L897" s="13">
        <v>90000</v>
      </c>
      <c r="M897" t="s">
        <v>104</v>
      </c>
      <c r="N897">
        <v>7040108000157</v>
      </c>
    </row>
    <row r="898" spans="1:14" x14ac:dyDescent="0.25">
      <c r="A898"/>
      <c r="B898"/>
      <c r="I898"/>
      <c r="J898"/>
      <c r="K898" t="str">
        <f>HYPERLINK("http://www8.mpce.mp.br/Empenhos/150501/NE/2024NE001159.pdf","2024NE001159")</f>
        <v>2024NE001159</v>
      </c>
      <c r="L898" s="13">
        <v>2400</v>
      </c>
      <c r="M898" t="s">
        <v>209</v>
      </c>
      <c r="N898">
        <v>25876988391</v>
      </c>
    </row>
    <row r="899" spans="1:14" x14ac:dyDescent="0.25">
      <c r="A899"/>
      <c r="B899"/>
      <c r="I899"/>
      <c r="J899"/>
      <c r="K899" t="str">
        <f>HYPERLINK("http://www8.mpce.mp.br/Empenhos/150501/NE/2024NE001160.pdf","2024NE001160")</f>
        <v>2024NE001160</v>
      </c>
      <c r="L899" s="13">
        <v>2823.27</v>
      </c>
      <c r="M899" t="s">
        <v>193</v>
      </c>
      <c r="N899">
        <v>35165286215</v>
      </c>
    </row>
    <row r="900" spans="1:14" x14ac:dyDescent="0.25">
      <c r="A900"/>
      <c r="B900"/>
      <c r="I900"/>
      <c r="J900"/>
      <c r="K900" t="str">
        <f>HYPERLINK("http://www8.mpce.mp.br/Empenhos/150501/NE/2024NE001161.pdf","2024NE001161")</f>
        <v>2024NE001161</v>
      </c>
      <c r="L900" s="13">
        <v>5518.15</v>
      </c>
      <c r="M900" t="s">
        <v>205</v>
      </c>
      <c r="N900">
        <v>34123367852</v>
      </c>
    </row>
    <row r="901" spans="1:14" x14ac:dyDescent="0.25">
      <c r="A901"/>
      <c r="B901"/>
      <c r="I901"/>
      <c r="J901"/>
      <c r="L901" s="13"/>
    </row>
    <row r="902" spans="1:14" x14ac:dyDescent="0.25">
      <c r="A902"/>
      <c r="B902"/>
      <c r="I902"/>
      <c r="J902"/>
      <c r="L902" s="13"/>
    </row>
    <row r="903" spans="1:14" x14ac:dyDescent="0.25">
      <c r="A903"/>
      <c r="B903"/>
      <c r="I903"/>
      <c r="J903"/>
    </row>
    <row r="904" spans="1:14" x14ac:dyDescent="0.25">
      <c r="A904"/>
      <c r="B904"/>
      <c r="I904"/>
      <c r="J904"/>
      <c r="L904" s="13"/>
    </row>
    <row r="905" spans="1:14" x14ac:dyDescent="0.25">
      <c r="A905"/>
      <c r="B905"/>
      <c r="I905"/>
      <c r="J905"/>
      <c r="L905" s="13"/>
    </row>
    <row r="906" spans="1:14" x14ac:dyDescent="0.25">
      <c r="A906"/>
      <c r="B906"/>
      <c r="I906"/>
      <c r="J906"/>
      <c r="L906" s="13"/>
    </row>
    <row r="907" spans="1:14" x14ac:dyDescent="0.25">
      <c r="A907"/>
      <c r="B907"/>
      <c r="I907"/>
      <c r="J907"/>
      <c r="L907" s="13"/>
    </row>
    <row r="908" spans="1:14" x14ac:dyDescent="0.25">
      <c r="A908"/>
      <c r="B908"/>
      <c r="I908"/>
      <c r="J908"/>
    </row>
    <row r="909" spans="1:14" x14ac:dyDescent="0.25">
      <c r="A909"/>
      <c r="B909"/>
      <c r="I909"/>
      <c r="J909"/>
      <c r="L909" s="13"/>
    </row>
    <row r="910" spans="1:14" x14ac:dyDescent="0.25">
      <c r="A910"/>
      <c r="B910"/>
      <c r="I910"/>
      <c r="J910"/>
      <c r="L910" s="13"/>
    </row>
    <row r="911" spans="1:14" x14ac:dyDescent="0.25">
      <c r="A911"/>
      <c r="B911"/>
      <c r="I911"/>
      <c r="J911"/>
      <c r="L911" s="13"/>
    </row>
    <row r="912" spans="1:14" x14ac:dyDescent="0.25">
      <c r="A912"/>
      <c r="B912"/>
      <c r="I912"/>
      <c r="J912"/>
      <c r="L912" s="13"/>
    </row>
    <row r="913" spans="1:12" x14ac:dyDescent="0.25">
      <c r="A913"/>
      <c r="B913"/>
      <c r="I913"/>
      <c r="J913"/>
      <c r="L913" s="13"/>
    </row>
    <row r="914" spans="1:12" x14ac:dyDescent="0.25">
      <c r="A914"/>
      <c r="B914"/>
      <c r="I914"/>
      <c r="J914"/>
    </row>
    <row r="915" spans="1:12" x14ac:dyDescent="0.25">
      <c r="A915"/>
      <c r="B915"/>
      <c r="I915"/>
      <c r="J915"/>
      <c r="L915" s="13"/>
    </row>
    <row r="916" spans="1:12" x14ac:dyDescent="0.25">
      <c r="A916"/>
      <c r="B916"/>
      <c r="I916"/>
      <c r="J916"/>
    </row>
    <row r="917" spans="1:12" x14ac:dyDescent="0.25">
      <c r="A917"/>
      <c r="B917"/>
      <c r="I917"/>
      <c r="J917"/>
    </row>
    <row r="918" spans="1:12" x14ac:dyDescent="0.25">
      <c r="A918"/>
      <c r="B918"/>
      <c r="I918"/>
      <c r="J918"/>
      <c r="L918" s="13"/>
    </row>
    <row r="919" spans="1:12" x14ac:dyDescent="0.25">
      <c r="A919"/>
      <c r="B919"/>
      <c r="I919"/>
      <c r="J919"/>
      <c r="L919" s="13"/>
    </row>
    <row r="920" spans="1:12" x14ac:dyDescent="0.25">
      <c r="A920"/>
      <c r="B920"/>
      <c r="I920"/>
      <c r="J920"/>
      <c r="L920" s="13"/>
    </row>
    <row r="921" spans="1:12" x14ac:dyDescent="0.25">
      <c r="A921"/>
      <c r="B921"/>
      <c r="I921"/>
      <c r="J921"/>
      <c r="L921" s="13"/>
    </row>
    <row r="922" spans="1:12" x14ac:dyDescent="0.25">
      <c r="A922"/>
      <c r="B922"/>
      <c r="I922"/>
      <c r="J922"/>
      <c r="L922" s="13"/>
    </row>
    <row r="923" spans="1:12" x14ac:dyDescent="0.25">
      <c r="A923"/>
      <c r="B923"/>
      <c r="I923"/>
      <c r="J923"/>
      <c r="L923" s="13"/>
    </row>
    <row r="924" spans="1:12" x14ac:dyDescent="0.25">
      <c r="A924"/>
      <c r="B924"/>
      <c r="I924"/>
      <c r="J924"/>
      <c r="L924" s="13"/>
    </row>
    <row r="925" spans="1:12" x14ac:dyDescent="0.25">
      <c r="A925"/>
      <c r="B925"/>
      <c r="I925"/>
      <c r="J925"/>
      <c r="L925" s="13"/>
    </row>
    <row r="926" spans="1:12" x14ac:dyDescent="0.25">
      <c r="A926"/>
      <c r="B926"/>
      <c r="I926"/>
      <c r="J926"/>
      <c r="L926" s="13"/>
    </row>
    <row r="927" spans="1:12" x14ac:dyDescent="0.25">
      <c r="A927"/>
      <c r="B927"/>
      <c r="I927"/>
      <c r="J927"/>
      <c r="L927" s="13"/>
    </row>
    <row r="928" spans="1:12" x14ac:dyDescent="0.25">
      <c r="A928"/>
      <c r="B928"/>
      <c r="I928"/>
      <c r="J928"/>
      <c r="L928" s="13"/>
    </row>
    <row r="929" spans="1:12" x14ac:dyDescent="0.25">
      <c r="A929"/>
      <c r="B929"/>
      <c r="I929"/>
      <c r="J929"/>
      <c r="L929" s="13"/>
    </row>
    <row r="930" spans="1:12" x14ac:dyDescent="0.25">
      <c r="A930"/>
      <c r="B930"/>
      <c r="I930"/>
      <c r="J930"/>
    </row>
    <row r="931" spans="1:12" x14ac:dyDescent="0.25">
      <c r="A931"/>
      <c r="B931"/>
      <c r="I931"/>
      <c r="J931"/>
    </row>
    <row r="932" spans="1:12" x14ac:dyDescent="0.25">
      <c r="A932"/>
      <c r="B932"/>
      <c r="I932"/>
      <c r="J932"/>
    </row>
    <row r="933" spans="1:12" x14ac:dyDescent="0.25">
      <c r="A933"/>
      <c r="B933"/>
      <c r="I933"/>
      <c r="J933"/>
    </row>
    <row r="934" spans="1:12" x14ac:dyDescent="0.25">
      <c r="A934"/>
      <c r="B934"/>
      <c r="I934"/>
      <c r="J934"/>
    </row>
    <row r="935" spans="1:12" x14ac:dyDescent="0.25">
      <c r="A935"/>
      <c r="B935"/>
      <c r="I935"/>
      <c r="J935"/>
    </row>
    <row r="936" spans="1:12" x14ac:dyDescent="0.25">
      <c r="A936"/>
      <c r="B936"/>
      <c r="I936"/>
      <c r="J936"/>
    </row>
    <row r="937" spans="1:12" x14ac:dyDescent="0.25">
      <c r="A937"/>
      <c r="B937"/>
      <c r="I937"/>
      <c r="J937"/>
    </row>
    <row r="938" spans="1:12" x14ac:dyDescent="0.25">
      <c r="A938"/>
      <c r="B938"/>
      <c r="I938"/>
      <c r="J938"/>
    </row>
    <row r="939" spans="1:12" x14ac:dyDescent="0.25">
      <c r="A939"/>
      <c r="B939"/>
      <c r="I939"/>
      <c r="J939"/>
    </row>
    <row r="940" spans="1:12" x14ac:dyDescent="0.25">
      <c r="A940"/>
      <c r="B940"/>
      <c r="I940"/>
      <c r="J940"/>
    </row>
    <row r="941" spans="1:12" x14ac:dyDescent="0.25">
      <c r="A941"/>
      <c r="B941"/>
      <c r="I941"/>
      <c r="J941"/>
    </row>
    <row r="942" spans="1:12" x14ac:dyDescent="0.25">
      <c r="A942"/>
      <c r="B942"/>
      <c r="I942"/>
      <c r="J942"/>
    </row>
    <row r="943" spans="1:12" x14ac:dyDescent="0.25">
      <c r="A943"/>
      <c r="B943"/>
      <c r="I943"/>
      <c r="J943"/>
      <c r="L943" s="13"/>
    </row>
    <row r="944" spans="1:12" x14ac:dyDescent="0.25">
      <c r="A944"/>
      <c r="B944"/>
      <c r="I944"/>
      <c r="J944"/>
      <c r="L944" s="13"/>
    </row>
    <row r="945" spans="1:12" x14ac:dyDescent="0.25">
      <c r="A945"/>
      <c r="B945"/>
      <c r="I945"/>
      <c r="J945"/>
    </row>
    <row r="946" spans="1:12" x14ac:dyDescent="0.25">
      <c r="A946"/>
      <c r="B946"/>
      <c r="I946"/>
      <c r="J946"/>
      <c r="L946" s="13"/>
    </row>
    <row r="947" spans="1:12" x14ac:dyDescent="0.25">
      <c r="A947"/>
      <c r="B947"/>
      <c r="I947"/>
      <c r="J947"/>
      <c r="L947" s="13"/>
    </row>
    <row r="948" spans="1:12" x14ac:dyDescent="0.25">
      <c r="A948"/>
      <c r="B948"/>
      <c r="I948"/>
      <c r="J948"/>
      <c r="L948" s="13"/>
    </row>
    <row r="949" spans="1:12" x14ac:dyDescent="0.25">
      <c r="A949"/>
      <c r="B949"/>
      <c r="I949"/>
      <c r="J949"/>
      <c r="L949" s="13"/>
    </row>
    <row r="950" spans="1:12" x14ac:dyDescent="0.25">
      <c r="A950"/>
      <c r="B950"/>
      <c r="I950"/>
      <c r="J950"/>
      <c r="L950" s="13"/>
    </row>
    <row r="951" spans="1:12" x14ac:dyDescent="0.25">
      <c r="A951"/>
      <c r="B951"/>
      <c r="I951"/>
      <c r="J951"/>
      <c r="L951" s="13"/>
    </row>
    <row r="952" spans="1:12" x14ac:dyDescent="0.25">
      <c r="A952"/>
      <c r="B952"/>
      <c r="I952"/>
      <c r="J952"/>
      <c r="L952" s="13"/>
    </row>
    <row r="953" spans="1:12" x14ac:dyDescent="0.25">
      <c r="A953"/>
      <c r="B953"/>
      <c r="I953"/>
      <c r="J953"/>
      <c r="L953" s="13"/>
    </row>
    <row r="954" spans="1:12" x14ac:dyDescent="0.25">
      <c r="A954"/>
      <c r="B954"/>
      <c r="I954"/>
      <c r="J954"/>
      <c r="L954" s="13"/>
    </row>
    <row r="955" spans="1:12" x14ac:dyDescent="0.25">
      <c r="A955"/>
      <c r="B955"/>
      <c r="I955"/>
      <c r="J955"/>
      <c r="L955" s="13"/>
    </row>
    <row r="956" spans="1:12" x14ac:dyDescent="0.25">
      <c r="A956"/>
      <c r="B956"/>
      <c r="I956"/>
      <c r="J956"/>
      <c r="L956" s="13"/>
    </row>
    <row r="957" spans="1:12" x14ac:dyDescent="0.25">
      <c r="A957"/>
      <c r="B957"/>
      <c r="I957"/>
      <c r="J957"/>
      <c r="L957" s="13"/>
    </row>
    <row r="958" spans="1:12" x14ac:dyDescent="0.25">
      <c r="A958"/>
      <c r="B958"/>
      <c r="I958"/>
      <c r="J958"/>
      <c r="L958" s="13"/>
    </row>
    <row r="959" spans="1:12" x14ac:dyDescent="0.25">
      <c r="A959"/>
      <c r="B959"/>
      <c r="I959"/>
      <c r="J959"/>
      <c r="L959" s="13"/>
    </row>
    <row r="960" spans="1:12" x14ac:dyDescent="0.25">
      <c r="A960"/>
      <c r="B960"/>
      <c r="I960"/>
      <c r="J960"/>
      <c r="L960" s="13"/>
    </row>
    <row r="961" spans="1:12" x14ac:dyDescent="0.25">
      <c r="A961"/>
      <c r="B961"/>
      <c r="I961"/>
      <c r="J961"/>
      <c r="L961" s="13"/>
    </row>
    <row r="962" spans="1:12" x14ac:dyDescent="0.25">
      <c r="A962"/>
      <c r="B962"/>
      <c r="I962"/>
      <c r="J962"/>
      <c r="L962" s="13"/>
    </row>
    <row r="963" spans="1:12" x14ac:dyDescent="0.25">
      <c r="A963"/>
      <c r="B963"/>
      <c r="I963"/>
      <c r="J963"/>
      <c r="L963" s="13"/>
    </row>
    <row r="964" spans="1:12" x14ac:dyDescent="0.25">
      <c r="A964"/>
      <c r="B964"/>
      <c r="I964"/>
      <c r="J964"/>
      <c r="L964" s="13"/>
    </row>
    <row r="965" spans="1:12" x14ac:dyDescent="0.25">
      <c r="A965"/>
      <c r="B965"/>
      <c r="I965"/>
      <c r="J965"/>
    </row>
    <row r="966" spans="1:12" x14ac:dyDescent="0.25">
      <c r="A966"/>
      <c r="B966"/>
      <c r="I966"/>
      <c r="J966"/>
      <c r="L966" s="13"/>
    </row>
    <row r="967" spans="1:12" x14ac:dyDescent="0.25">
      <c r="A967"/>
      <c r="B967"/>
      <c r="I967"/>
      <c r="J967"/>
      <c r="L967" s="13"/>
    </row>
    <row r="968" spans="1:12" x14ac:dyDescent="0.25">
      <c r="A968"/>
      <c r="B968"/>
      <c r="I968"/>
      <c r="J968"/>
      <c r="L968" s="13"/>
    </row>
    <row r="969" spans="1:12" x14ac:dyDescent="0.25">
      <c r="A969"/>
      <c r="B969"/>
      <c r="I969"/>
      <c r="J969"/>
      <c r="L969" s="13"/>
    </row>
    <row r="970" spans="1:12" x14ac:dyDescent="0.25">
      <c r="A970"/>
      <c r="B970"/>
      <c r="I970"/>
      <c r="J970"/>
      <c r="L970" s="13"/>
    </row>
    <row r="971" spans="1:12" x14ac:dyDescent="0.25">
      <c r="A971"/>
      <c r="B971"/>
      <c r="I971"/>
      <c r="J971"/>
      <c r="L971" s="13"/>
    </row>
    <row r="972" spans="1:12" x14ac:dyDescent="0.25">
      <c r="A972"/>
      <c r="B972"/>
      <c r="I972"/>
      <c r="J972"/>
      <c r="L972" s="13"/>
    </row>
    <row r="973" spans="1:12" x14ac:dyDescent="0.25">
      <c r="A973"/>
      <c r="B973"/>
      <c r="I973"/>
      <c r="J973"/>
      <c r="L973" s="13"/>
    </row>
    <row r="974" spans="1:12" x14ac:dyDescent="0.25">
      <c r="A974"/>
      <c r="B974"/>
      <c r="I974"/>
      <c r="J974"/>
      <c r="L974" s="13"/>
    </row>
    <row r="975" spans="1:12" x14ac:dyDescent="0.25">
      <c r="A975"/>
      <c r="B975"/>
      <c r="I975"/>
      <c r="J975"/>
      <c r="L975" s="13"/>
    </row>
    <row r="976" spans="1:12" x14ac:dyDescent="0.25">
      <c r="A976"/>
      <c r="B976"/>
      <c r="I976"/>
      <c r="J976"/>
      <c r="L976" s="13"/>
    </row>
    <row r="977" spans="1:12" x14ac:dyDescent="0.25">
      <c r="A977"/>
      <c r="B977"/>
      <c r="I977"/>
      <c r="J977"/>
    </row>
    <row r="978" spans="1:12" x14ac:dyDescent="0.25">
      <c r="A978"/>
      <c r="B978"/>
      <c r="I978"/>
      <c r="J978"/>
    </row>
    <row r="979" spans="1:12" x14ac:dyDescent="0.25">
      <c r="A979"/>
      <c r="B979"/>
      <c r="I979"/>
      <c r="J979"/>
    </row>
    <row r="980" spans="1:12" x14ac:dyDescent="0.25">
      <c r="A980"/>
      <c r="B980"/>
      <c r="I980"/>
      <c r="J980"/>
    </row>
    <row r="981" spans="1:12" x14ac:dyDescent="0.25">
      <c r="A981"/>
      <c r="B981"/>
      <c r="I981"/>
      <c r="J981"/>
    </row>
    <row r="982" spans="1:12" x14ac:dyDescent="0.25">
      <c r="A982"/>
      <c r="B982"/>
      <c r="I982"/>
      <c r="J982"/>
    </row>
    <row r="983" spans="1:12" x14ac:dyDescent="0.25">
      <c r="A983"/>
      <c r="B983"/>
      <c r="I983"/>
      <c r="J983"/>
    </row>
    <row r="984" spans="1:12" x14ac:dyDescent="0.25">
      <c r="A984"/>
      <c r="B984"/>
      <c r="I984"/>
      <c r="J984"/>
    </row>
    <row r="985" spans="1:12" x14ac:dyDescent="0.25">
      <c r="A985"/>
      <c r="B985"/>
      <c r="I985"/>
      <c r="J985"/>
    </row>
    <row r="986" spans="1:12" x14ac:dyDescent="0.25">
      <c r="A986"/>
      <c r="B986"/>
      <c r="I986"/>
      <c r="J986"/>
    </row>
    <row r="987" spans="1:12" x14ac:dyDescent="0.25">
      <c r="A987"/>
      <c r="B987"/>
      <c r="I987"/>
      <c r="J987"/>
    </row>
    <row r="988" spans="1:12" x14ac:dyDescent="0.25">
      <c r="A988"/>
      <c r="B988"/>
      <c r="I988"/>
      <c r="J988"/>
    </row>
    <row r="989" spans="1:12" x14ac:dyDescent="0.25">
      <c r="A989"/>
      <c r="B989"/>
      <c r="I989"/>
      <c r="J989"/>
    </row>
    <row r="990" spans="1:12" x14ac:dyDescent="0.25">
      <c r="A990"/>
      <c r="B990"/>
      <c r="I990"/>
      <c r="J990"/>
    </row>
    <row r="991" spans="1:12" x14ac:dyDescent="0.25">
      <c r="A991"/>
      <c r="B991"/>
      <c r="I991"/>
      <c r="J991"/>
      <c r="L991" s="13"/>
    </row>
    <row r="992" spans="1:12" x14ac:dyDescent="0.25">
      <c r="A992"/>
      <c r="B992"/>
      <c r="I992"/>
      <c r="J992"/>
      <c r="L992" s="13"/>
    </row>
    <row r="993" spans="1:12" x14ac:dyDescent="0.25">
      <c r="A993"/>
      <c r="B993"/>
      <c r="I993"/>
      <c r="J993"/>
      <c r="L993" s="13"/>
    </row>
    <row r="994" spans="1:12" x14ac:dyDescent="0.25">
      <c r="A994"/>
      <c r="B994"/>
      <c r="I994"/>
      <c r="J994"/>
      <c r="L994" s="13"/>
    </row>
    <row r="995" spans="1:12" x14ac:dyDescent="0.25">
      <c r="A995"/>
      <c r="B995"/>
      <c r="I995"/>
      <c r="J995"/>
      <c r="L995" s="13"/>
    </row>
    <row r="996" spans="1:12" x14ac:dyDescent="0.25">
      <c r="A996"/>
      <c r="B996"/>
      <c r="I996"/>
      <c r="J996"/>
      <c r="L996" s="13"/>
    </row>
    <row r="997" spans="1:12" x14ac:dyDescent="0.25">
      <c r="A997"/>
      <c r="B997"/>
      <c r="I997"/>
      <c r="J997"/>
      <c r="L997" s="13"/>
    </row>
    <row r="998" spans="1:12" x14ac:dyDescent="0.25">
      <c r="A998"/>
      <c r="B998"/>
      <c r="I998"/>
      <c r="J998"/>
    </row>
    <row r="999" spans="1:12" x14ac:dyDescent="0.25">
      <c r="A999"/>
      <c r="B999"/>
      <c r="I999"/>
      <c r="J999"/>
    </row>
    <row r="1000" spans="1:12" x14ac:dyDescent="0.25">
      <c r="A1000"/>
      <c r="B1000"/>
      <c r="I1000"/>
      <c r="J1000"/>
    </row>
    <row r="1001" spans="1:12" x14ac:dyDescent="0.25">
      <c r="A1001"/>
      <c r="B1001"/>
      <c r="I1001"/>
      <c r="J1001"/>
    </row>
    <row r="1002" spans="1:12" x14ac:dyDescent="0.25">
      <c r="A1002"/>
      <c r="B1002"/>
      <c r="I1002"/>
      <c r="J1002"/>
    </row>
    <row r="1003" spans="1:12" x14ac:dyDescent="0.25">
      <c r="A1003"/>
      <c r="B1003"/>
      <c r="I1003"/>
      <c r="J1003"/>
    </row>
    <row r="1004" spans="1:12" x14ac:dyDescent="0.25">
      <c r="A1004"/>
      <c r="B1004"/>
      <c r="I1004"/>
      <c r="J1004"/>
    </row>
    <row r="1005" spans="1:12" x14ac:dyDescent="0.25">
      <c r="A1005"/>
      <c r="B1005"/>
      <c r="I1005"/>
      <c r="J1005"/>
    </row>
    <row r="1006" spans="1:12" x14ac:dyDescent="0.25">
      <c r="A1006"/>
      <c r="B1006"/>
      <c r="I1006"/>
      <c r="J1006"/>
    </row>
    <row r="1007" spans="1:12" x14ac:dyDescent="0.25">
      <c r="A1007"/>
      <c r="B1007"/>
      <c r="I1007"/>
      <c r="J1007"/>
    </row>
    <row r="1008" spans="1:12" x14ac:dyDescent="0.25">
      <c r="A1008"/>
      <c r="B1008"/>
      <c r="I1008"/>
      <c r="J1008"/>
    </row>
    <row r="1009" spans="5:5" customFormat="1" x14ac:dyDescent="0.25">
      <c r="E1009" s="18"/>
    </row>
    <row r="1010" spans="5:5" customFormat="1" x14ac:dyDescent="0.25">
      <c r="E1010" s="18"/>
    </row>
    <row r="1011" spans="5:5" customFormat="1" x14ac:dyDescent="0.25">
      <c r="E1011" s="18"/>
    </row>
    <row r="1012" spans="5:5" customFormat="1" x14ac:dyDescent="0.25">
      <c r="E1012" s="18"/>
    </row>
    <row r="1013" spans="5:5" customFormat="1" x14ac:dyDescent="0.25">
      <c r="E1013" s="18"/>
    </row>
    <row r="1014" spans="5:5" customFormat="1" x14ac:dyDescent="0.25">
      <c r="E1014" s="18"/>
    </row>
    <row r="1015" spans="5:5" customFormat="1" x14ac:dyDescent="0.25">
      <c r="E1015" s="18"/>
    </row>
    <row r="1016" spans="5:5" customFormat="1" x14ac:dyDescent="0.25">
      <c r="E1016" s="18"/>
    </row>
    <row r="1017" spans="5:5" customFormat="1" x14ac:dyDescent="0.25">
      <c r="E1017" s="18"/>
    </row>
    <row r="1018" spans="5:5" customFormat="1" x14ac:dyDescent="0.25">
      <c r="E1018" s="18"/>
    </row>
    <row r="1019" spans="5:5" customFormat="1" x14ac:dyDescent="0.25">
      <c r="E1019" s="18"/>
    </row>
    <row r="1020" spans="5:5" customFormat="1" x14ac:dyDescent="0.25">
      <c r="E1020" s="18"/>
    </row>
    <row r="1021" spans="5:5" customFormat="1" x14ac:dyDescent="0.25">
      <c r="E1021" s="18"/>
    </row>
    <row r="1022" spans="5:5" customFormat="1" x14ac:dyDescent="0.25">
      <c r="E1022" s="18"/>
    </row>
    <row r="1023" spans="5:5" customFormat="1" x14ac:dyDescent="0.25">
      <c r="E1023" s="18"/>
    </row>
    <row r="1024" spans="5:5" customFormat="1" x14ac:dyDescent="0.25">
      <c r="E1024" s="18"/>
    </row>
    <row r="1025" spans="5:5" customFormat="1" x14ac:dyDescent="0.25">
      <c r="E1025" s="18"/>
    </row>
    <row r="1026" spans="5:5" customFormat="1" x14ac:dyDescent="0.25">
      <c r="E1026" s="18"/>
    </row>
    <row r="1027" spans="5:5" customFormat="1" x14ac:dyDescent="0.25">
      <c r="E1027" s="18"/>
    </row>
    <row r="1028" spans="5:5" customFormat="1" x14ac:dyDescent="0.25">
      <c r="E1028" s="18"/>
    </row>
    <row r="1029" spans="5:5" customFormat="1" x14ac:dyDescent="0.25">
      <c r="E1029" s="18"/>
    </row>
    <row r="1030" spans="5:5" customFormat="1" x14ac:dyDescent="0.25">
      <c r="E1030" s="18"/>
    </row>
    <row r="1031" spans="5:5" customFormat="1" x14ac:dyDescent="0.25">
      <c r="E1031" s="18"/>
    </row>
    <row r="1032" spans="5:5" customFormat="1" x14ac:dyDescent="0.25">
      <c r="E1032" s="18"/>
    </row>
    <row r="1033" spans="5:5" customFormat="1" x14ac:dyDescent="0.25">
      <c r="E1033" s="18"/>
    </row>
    <row r="1034" spans="5:5" customFormat="1" x14ac:dyDescent="0.25">
      <c r="E1034" s="18"/>
    </row>
    <row r="1035" spans="5:5" customFormat="1" x14ac:dyDescent="0.25">
      <c r="E1035" s="18"/>
    </row>
    <row r="1036" spans="5:5" customFormat="1" x14ac:dyDescent="0.25">
      <c r="E1036" s="18"/>
    </row>
    <row r="1037" spans="5:5" customFormat="1" x14ac:dyDescent="0.25">
      <c r="E1037" s="18"/>
    </row>
    <row r="1038" spans="5:5" customFormat="1" x14ac:dyDescent="0.25">
      <c r="E1038" s="18"/>
    </row>
    <row r="1039" spans="5:5" customFormat="1" x14ac:dyDescent="0.25">
      <c r="E1039" s="18"/>
    </row>
    <row r="1040" spans="5:5" customFormat="1" x14ac:dyDescent="0.25">
      <c r="E1040" s="18"/>
    </row>
    <row r="1041" spans="5:5" customFormat="1" x14ac:dyDescent="0.25">
      <c r="E1041" s="18"/>
    </row>
    <row r="1042" spans="5:5" customFormat="1" x14ac:dyDescent="0.25">
      <c r="E1042" s="18"/>
    </row>
    <row r="1043" spans="5:5" customFormat="1" x14ac:dyDescent="0.25">
      <c r="E1043" s="18"/>
    </row>
    <row r="1044" spans="5:5" customFormat="1" x14ac:dyDescent="0.25">
      <c r="E1044" s="18"/>
    </row>
    <row r="1045" spans="5:5" customFormat="1" x14ac:dyDescent="0.25">
      <c r="E1045" s="18"/>
    </row>
    <row r="1046" spans="5:5" customFormat="1" x14ac:dyDescent="0.25">
      <c r="E1046" s="18"/>
    </row>
    <row r="1047" spans="5:5" customFormat="1" x14ac:dyDescent="0.25">
      <c r="E1047" s="18"/>
    </row>
    <row r="1048" spans="5:5" customFormat="1" x14ac:dyDescent="0.25">
      <c r="E1048" s="18"/>
    </row>
    <row r="1049" spans="5:5" customFormat="1" x14ac:dyDescent="0.25">
      <c r="E1049" s="18"/>
    </row>
    <row r="1050" spans="5:5" customFormat="1" x14ac:dyDescent="0.25">
      <c r="E1050" s="18"/>
    </row>
    <row r="1051" spans="5:5" customFormat="1" x14ac:dyDescent="0.25">
      <c r="E1051" s="18"/>
    </row>
    <row r="1052" spans="5:5" customFormat="1" x14ac:dyDescent="0.25">
      <c r="E1052" s="18"/>
    </row>
    <row r="1053" spans="5:5" customFormat="1" x14ac:dyDescent="0.25">
      <c r="E1053" s="18"/>
    </row>
    <row r="1054" spans="5:5" customFormat="1" x14ac:dyDescent="0.25">
      <c r="E1054" s="18"/>
    </row>
    <row r="1055" spans="5:5" customFormat="1" x14ac:dyDescent="0.25">
      <c r="E1055" s="18"/>
    </row>
    <row r="1056" spans="5:5" customFormat="1" x14ac:dyDescent="0.25">
      <c r="E1056" s="18"/>
    </row>
    <row r="1057" spans="5:5" customFormat="1" x14ac:dyDescent="0.25">
      <c r="E1057" s="18"/>
    </row>
    <row r="1058" spans="5:5" customFormat="1" x14ac:dyDescent="0.25">
      <c r="E1058" s="18"/>
    </row>
    <row r="1059" spans="5:5" customFormat="1" x14ac:dyDescent="0.25">
      <c r="E1059" s="18"/>
    </row>
    <row r="1060" spans="5:5" customFormat="1" x14ac:dyDescent="0.25">
      <c r="E1060" s="18"/>
    </row>
    <row r="1061" spans="5:5" customFormat="1" x14ac:dyDescent="0.25">
      <c r="E1061" s="18"/>
    </row>
    <row r="1062" spans="5:5" customFormat="1" x14ac:dyDescent="0.25">
      <c r="E1062" s="18"/>
    </row>
    <row r="1063" spans="5:5" customFormat="1" x14ac:dyDescent="0.25">
      <c r="E1063" s="18"/>
    </row>
    <row r="1064" spans="5:5" customFormat="1" x14ac:dyDescent="0.25">
      <c r="E1064" s="18"/>
    </row>
    <row r="1065" spans="5:5" customFormat="1" x14ac:dyDescent="0.25">
      <c r="E1065" s="18"/>
    </row>
    <row r="1066" spans="5:5" customFormat="1" x14ac:dyDescent="0.25">
      <c r="E1066" s="18"/>
    </row>
    <row r="1067" spans="5:5" customFormat="1" x14ac:dyDescent="0.25">
      <c r="E1067" s="18"/>
    </row>
    <row r="1068" spans="5:5" customFormat="1" x14ac:dyDescent="0.25">
      <c r="E1068" s="18"/>
    </row>
    <row r="1069" spans="5:5" customFormat="1" x14ac:dyDescent="0.25">
      <c r="E1069" s="18"/>
    </row>
    <row r="1070" spans="5:5" customFormat="1" x14ac:dyDescent="0.25">
      <c r="E1070" s="18"/>
    </row>
    <row r="1071" spans="5:5" customFormat="1" x14ac:dyDescent="0.25">
      <c r="E1071" s="18"/>
    </row>
    <row r="1072" spans="5:5" customFormat="1" x14ac:dyDescent="0.25">
      <c r="E1072" s="18"/>
    </row>
    <row r="1073" spans="5:5" customFormat="1" x14ac:dyDescent="0.25">
      <c r="E1073" s="18"/>
    </row>
    <row r="1074" spans="5:5" customFormat="1" x14ac:dyDescent="0.25">
      <c r="E1074" s="18"/>
    </row>
    <row r="1075" spans="5:5" customFormat="1" x14ac:dyDescent="0.25">
      <c r="E1075" s="18"/>
    </row>
    <row r="1076" spans="5:5" customFormat="1" x14ac:dyDescent="0.25">
      <c r="E1076" s="18"/>
    </row>
    <row r="1077" spans="5:5" customFormat="1" x14ac:dyDescent="0.25">
      <c r="E1077" s="18"/>
    </row>
    <row r="1078" spans="5:5" customFormat="1" x14ac:dyDescent="0.25">
      <c r="E1078" s="18"/>
    </row>
    <row r="1079" spans="5:5" customFormat="1" x14ac:dyDescent="0.25">
      <c r="E1079" s="18"/>
    </row>
    <row r="1080" spans="5:5" customFormat="1" x14ac:dyDescent="0.25">
      <c r="E1080" s="18"/>
    </row>
    <row r="1081" spans="5:5" customFormat="1" x14ac:dyDescent="0.25">
      <c r="E1081" s="18"/>
    </row>
    <row r="1082" spans="5:5" customFormat="1" x14ac:dyDescent="0.25">
      <c r="E1082" s="18"/>
    </row>
    <row r="1083" spans="5:5" customFormat="1" x14ac:dyDescent="0.25">
      <c r="E1083" s="18"/>
    </row>
    <row r="1084" spans="5:5" customFormat="1" x14ac:dyDescent="0.25">
      <c r="E1084" s="18"/>
    </row>
    <row r="1085" spans="5:5" customFormat="1" x14ac:dyDescent="0.25">
      <c r="E1085" s="18"/>
    </row>
    <row r="1086" spans="5:5" customFormat="1" x14ac:dyDescent="0.25">
      <c r="E1086" s="18"/>
    </row>
    <row r="1087" spans="5:5" customFormat="1" x14ac:dyDescent="0.25">
      <c r="E1087" s="18"/>
    </row>
    <row r="1088" spans="5:5" customFormat="1" x14ac:dyDescent="0.25">
      <c r="E1088" s="18"/>
    </row>
    <row r="1089" spans="5:5" customFormat="1" x14ac:dyDescent="0.25">
      <c r="E1089" s="18"/>
    </row>
    <row r="1090" spans="5:5" customFormat="1" x14ac:dyDescent="0.25">
      <c r="E1090" s="18"/>
    </row>
    <row r="1091" spans="5:5" customFormat="1" x14ac:dyDescent="0.25">
      <c r="E1091" s="18"/>
    </row>
    <row r="1092" spans="5:5" customFormat="1" x14ac:dyDescent="0.25">
      <c r="E1092" s="18"/>
    </row>
    <row r="1093" spans="5:5" customFormat="1" x14ac:dyDescent="0.25">
      <c r="E1093" s="18"/>
    </row>
    <row r="1094" spans="5:5" customFormat="1" x14ac:dyDescent="0.25">
      <c r="E1094" s="18"/>
    </row>
    <row r="1095" spans="5:5" customFormat="1" x14ac:dyDescent="0.25">
      <c r="E1095" s="18"/>
    </row>
    <row r="1096" spans="5:5" customFormat="1" x14ac:dyDescent="0.25">
      <c r="E1096" s="18"/>
    </row>
    <row r="1097" spans="5:5" customFormat="1" x14ac:dyDescent="0.25">
      <c r="E1097" s="18"/>
    </row>
    <row r="1098" spans="5:5" customFormat="1" x14ac:dyDescent="0.25">
      <c r="E1098" s="18"/>
    </row>
    <row r="1099" spans="5:5" customFormat="1" x14ac:dyDescent="0.25">
      <c r="E1099" s="18"/>
    </row>
    <row r="1100" spans="5:5" customFormat="1" x14ac:dyDescent="0.25">
      <c r="E1100" s="18"/>
    </row>
    <row r="1101" spans="5:5" customFormat="1" x14ac:dyDescent="0.25">
      <c r="E1101" s="18"/>
    </row>
    <row r="1102" spans="5:5" customFormat="1" x14ac:dyDescent="0.25">
      <c r="E1102" s="18"/>
    </row>
    <row r="1103" spans="5:5" customFormat="1" x14ac:dyDescent="0.25">
      <c r="E1103" s="18"/>
    </row>
    <row r="1104" spans="5:5" customFormat="1" x14ac:dyDescent="0.25">
      <c r="E1104" s="18"/>
    </row>
    <row r="1105" spans="5:5" customFormat="1" x14ac:dyDescent="0.25">
      <c r="E1105" s="18"/>
    </row>
    <row r="1106" spans="5:5" customFormat="1" x14ac:dyDescent="0.25">
      <c r="E1106" s="18"/>
    </row>
    <row r="1107" spans="5:5" customFormat="1" x14ac:dyDescent="0.25">
      <c r="E1107" s="18"/>
    </row>
    <row r="1108" spans="5:5" customFormat="1" x14ac:dyDescent="0.25">
      <c r="E1108" s="18"/>
    </row>
    <row r="1109" spans="5:5" customFormat="1" x14ac:dyDescent="0.25">
      <c r="E1109" s="18"/>
    </row>
    <row r="1110" spans="5:5" customFormat="1" x14ac:dyDescent="0.25">
      <c r="E1110" s="18"/>
    </row>
    <row r="1111" spans="5:5" customFormat="1" x14ac:dyDescent="0.25">
      <c r="E1111" s="18"/>
    </row>
    <row r="1112" spans="5:5" customFormat="1" x14ac:dyDescent="0.25">
      <c r="E1112" s="18"/>
    </row>
    <row r="1113" spans="5:5" customFormat="1" x14ac:dyDescent="0.25">
      <c r="E1113" s="18"/>
    </row>
    <row r="1114" spans="5:5" customFormat="1" x14ac:dyDescent="0.25">
      <c r="E1114" s="18"/>
    </row>
    <row r="1115" spans="5:5" customFormat="1" x14ac:dyDescent="0.25">
      <c r="E1115" s="18"/>
    </row>
    <row r="1116" spans="5:5" customFormat="1" x14ac:dyDescent="0.25">
      <c r="E1116" s="18"/>
    </row>
    <row r="1117" spans="5:5" customFormat="1" x14ac:dyDescent="0.25">
      <c r="E1117" s="18"/>
    </row>
    <row r="1118" spans="5:5" customFormat="1" x14ac:dyDescent="0.25">
      <c r="E1118" s="18"/>
    </row>
    <row r="1119" spans="5:5" customFormat="1" x14ac:dyDescent="0.25">
      <c r="E1119" s="18"/>
    </row>
    <row r="1120" spans="5:5" customFormat="1" x14ac:dyDescent="0.25">
      <c r="E1120" s="18"/>
    </row>
    <row r="1121" spans="5:5" customFormat="1" x14ac:dyDescent="0.25">
      <c r="E1121" s="18"/>
    </row>
    <row r="1122" spans="5:5" customFormat="1" x14ac:dyDescent="0.25">
      <c r="E1122" s="18"/>
    </row>
    <row r="1123" spans="5:5" customFormat="1" x14ac:dyDescent="0.25">
      <c r="E1123" s="18"/>
    </row>
    <row r="1124" spans="5:5" customFormat="1" x14ac:dyDescent="0.25">
      <c r="E1124" s="18"/>
    </row>
    <row r="1125" spans="5:5" customFormat="1" x14ac:dyDescent="0.25">
      <c r="E1125" s="18"/>
    </row>
    <row r="1126" spans="5:5" customFormat="1" x14ac:dyDescent="0.25">
      <c r="E1126" s="18"/>
    </row>
    <row r="1127" spans="5:5" customFormat="1" x14ac:dyDescent="0.25">
      <c r="E1127" s="18"/>
    </row>
    <row r="1128" spans="5:5" customFormat="1" x14ac:dyDescent="0.25">
      <c r="E1128" s="18"/>
    </row>
    <row r="1129" spans="5:5" customFormat="1" x14ac:dyDescent="0.25">
      <c r="E1129" s="18"/>
    </row>
    <row r="1130" spans="5:5" customFormat="1" x14ac:dyDescent="0.25">
      <c r="E1130" s="18"/>
    </row>
    <row r="1131" spans="5:5" customFormat="1" x14ac:dyDescent="0.25">
      <c r="E1131" s="18"/>
    </row>
    <row r="1132" spans="5:5" customFormat="1" x14ac:dyDescent="0.25">
      <c r="E1132" s="18"/>
    </row>
    <row r="1133" spans="5:5" customFormat="1" x14ac:dyDescent="0.25">
      <c r="E1133" s="18"/>
    </row>
    <row r="1134" spans="5:5" customFormat="1" x14ac:dyDescent="0.25">
      <c r="E1134" s="18"/>
    </row>
    <row r="1135" spans="5:5" customFormat="1" x14ac:dyDescent="0.25">
      <c r="E1135" s="18"/>
    </row>
    <row r="1136" spans="5:5" customFormat="1" x14ac:dyDescent="0.25">
      <c r="E1136" s="18"/>
    </row>
    <row r="1137" spans="5:5" customFormat="1" x14ac:dyDescent="0.25">
      <c r="E1137" s="18"/>
    </row>
    <row r="1138" spans="5:5" customFormat="1" x14ac:dyDescent="0.25">
      <c r="E1138" s="18"/>
    </row>
    <row r="1139" spans="5:5" customFormat="1" x14ac:dyDescent="0.25">
      <c r="E1139" s="18"/>
    </row>
    <row r="1140" spans="5:5" customFormat="1" x14ac:dyDescent="0.25">
      <c r="E1140" s="18"/>
    </row>
    <row r="1141" spans="5:5" customFormat="1" x14ac:dyDescent="0.25">
      <c r="E1141" s="18"/>
    </row>
    <row r="1142" spans="5:5" customFormat="1" x14ac:dyDescent="0.25">
      <c r="E1142" s="18"/>
    </row>
    <row r="1143" spans="5:5" customFormat="1" x14ac:dyDescent="0.25">
      <c r="E1143" s="18"/>
    </row>
    <row r="1144" spans="5:5" customFormat="1" x14ac:dyDescent="0.25">
      <c r="E1144" s="18"/>
    </row>
    <row r="1145" spans="5:5" customFormat="1" x14ac:dyDescent="0.25">
      <c r="E1145" s="18"/>
    </row>
    <row r="1146" spans="5:5" customFormat="1" x14ac:dyDescent="0.25">
      <c r="E1146" s="18"/>
    </row>
    <row r="1147" spans="5:5" customFormat="1" x14ac:dyDescent="0.25">
      <c r="E1147" s="18"/>
    </row>
    <row r="1148" spans="5:5" customFormat="1" x14ac:dyDescent="0.25">
      <c r="E1148" s="18"/>
    </row>
    <row r="1149" spans="5:5" customFormat="1" x14ac:dyDescent="0.25">
      <c r="E1149" s="18"/>
    </row>
    <row r="1150" spans="5:5" customFormat="1" x14ac:dyDescent="0.25">
      <c r="E1150" s="18"/>
    </row>
    <row r="1151" spans="5:5" customFormat="1" x14ac:dyDescent="0.25">
      <c r="E1151" s="18"/>
    </row>
    <row r="1152" spans="5:5" customFormat="1" x14ac:dyDescent="0.25">
      <c r="E1152" s="18"/>
    </row>
    <row r="1153" spans="5:5" customFormat="1" x14ac:dyDescent="0.25">
      <c r="E1153" s="18"/>
    </row>
    <row r="1154" spans="5:5" customFormat="1" x14ac:dyDescent="0.25">
      <c r="E1154" s="18"/>
    </row>
    <row r="1155" spans="5:5" customFormat="1" x14ac:dyDescent="0.25">
      <c r="E1155" s="18"/>
    </row>
    <row r="1156" spans="5:5" customFormat="1" x14ac:dyDescent="0.25">
      <c r="E1156" s="18"/>
    </row>
    <row r="1157" spans="5:5" customFormat="1" x14ac:dyDescent="0.25">
      <c r="E1157" s="18"/>
    </row>
    <row r="1158" spans="5:5" customFormat="1" x14ac:dyDescent="0.25">
      <c r="E1158" s="18"/>
    </row>
    <row r="1159" spans="5:5" customFormat="1" x14ac:dyDescent="0.25">
      <c r="E1159" s="18"/>
    </row>
    <row r="1160" spans="5:5" customFormat="1" x14ac:dyDescent="0.25">
      <c r="E1160" s="18"/>
    </row>
    <row r="1161" spans="5:5" customFormat="1" x14ac:dyDescent="0.25">
      <c r="E1161" s="18"/>
    </row>
    <row r="1162" spans="5:5" customFormat="1" x14ac:dyDescent="0.25">
      <c r="E1162" s="18"/>
    </row>
    <row r="1163" spans="5:5" customFormat="1" x14ac:dyDescent="0.25">
      <c r="E1163" s="18"/>
    </row>
    <row r="1164" spans="5:5" customFormat="1" x14ac:dyDescent="0.25">
      <c r="E1164" s="18"/>
    </row>
    <row r="1165" spans="5:5" customFormat="1" x14ac:dyDescent="0.25">
      <c r="E1165" s="18"/>
    </row>
    <row r="1166" spans="5:5" customFormat="1" x14ac:dyDescent="0.25">
      <c r="E1166" s="18"/>
    </row>
    <row r="1167" spans="5:5" customFormat="1" x14ac:dyDescent="0.25">
      <c r="E1167" s="18"/>
    </row>
    <row r="1168" spans="5:5" customFormat="1" x14ac:dyDescent="0.25">
      <c r="E1168" s="18"/>
    </row>
    <row r="1169" spans="5:5" customFormat="1" x14ac:dyDescent="0.25">
      <c r="E1169" s="18"/>
    </row>
    <row r="1170" spans="5:5" customFormat="1" x14ac:dyDescent="0.25">
      <c r="E1170" s="18"/>
    </row>
    <row r="1171" spans="5:5" customFormat="1" x14ac:dyDescent="0.25">
      <c r="E1171" s="18"/>
    </row>
    <row r="1172" spans="5:5" customFormat="1" x14ac:dyDescent="0.25">
      <c r="E1172" s="18"/>
    </row>
    <row r="1173" spans="5:5" customFormat="1" x14ac:dyDescent="0.25">
      <c r="E1173" s="18"/>
    </row>
    <row r="1174" spans="5:5" customFormat="1" x14ac:dyDescent="0.25">
      <c r="E1174" s="18"/>
    </row>
    <row r="1175" spans="5:5" customFormat="1" x14ac:dyDescent="0.25">
      <c r="E1175" s="18"/>
    </row>
    <row r="1176" spans="5:5" customFormat="1" x14ac:dyDescent="0.25">
      <c r="E1176" s="18"/>
    </row>
    <row r="1177" spans="5:5" customFormat="1" x14ac:dyDescent="0.25">
      <c r="E1177" s="18"/>
    </row>
    <row r="1178" spans="5:5" customFormat="1" x14ac:dyDescent="0.25">
      <c r="E1178" s="18"/>
    </row>
    <row r="1179" spans="5:5" customFormat="1" x14ac:dyDescent="0.25">
      <c r="E1179" s="18"/>
    </row>
    <row r="1180" spans="5:5" customFormat="1" x14ac:dyDescent="0.25">
      <c r="E1180" s="18"/>
    </row>
    <row r="1181" spans="5:5" customFormat="1" x14ac:dyDescent="0.25">
      <c r="E1181" s="18"/>
    </row>
    <row r="1182" spans="5:5" customFormat="1" x14ac:dyDescent="0.25">
      <c r="E1182" s="18"/>
    </row>
    <row r="1183" spans="5:5" customFormat="1" x14ac:dyDescent="0.25">
      <c r="E1183" s="18"/>
    </row>
    <row r="1184" spans="5:5" customFormat="1" x14ac:dyDescent="0.25">
      <c r="E1184" s="18"/>
    </row>
    <row r="1185" spans="5:5" customFormat="1" x14ac:dyDescent="0.25">
      <c r="E1185" s="18"/>
    </row>
    <row r="1186" spans="5:5" customFormat="1" x14ac:dyDescent="0.25">
      <c r="E1186" s="18"/>
    </row>
    <row r="1187" spans="5:5" customFormat="1" x14ac:dyDescent="0.25">
      <c r="E1187" s="18"/>
    </row>
    <row r="1188" spans="5:5" customFormat="1" x14ac:dyDescent="0.25">
      <c r="E1188" s="18"/>
    </row>
    <row r="1189" spans="5:5" customFormat="1" x14ac:dyDescent="0.25">
      <c r="E1189" s="18"/>
    </row>
    <row r="1190" spans="5:5" customFormat="1" x14ac:dyDescent="0.25">
      <c r="E1190" s="18"/>
    </row>
    <row r="1191" spans="5:5" customFormat="1" x14ac:dyDescent="0.25">
      <c r="E1191" s="18"/>
    </row>
    <row r="1192" spans="5:5" customFormat="1" x14ac:dyDescent="0.25">
      <c r="E1192" s="18"/>
    </row>
    <row r="1193" spans="5:5" customFormat="1" x14ac:dyDescent="0.25">
      <c r="E1193" s="18"/>
    </row>
    <row r="1194" spans="5:5" customFormat="1" x14ac:dyDescent="0.25">
      <c r="E1194" s="18"/>
    </row>
    <row r="1195" spans="5:5" customFormat="1" x14ac:dyDescent="0.25">
      <c r="E1195" s="18"/>
    </row>
    <row r="1196" spans="5:5" customFormat="1" x14ac:dyDescent="0.25">
      <c r="E1196" s="18"/>
    </row>
    <row r="1197" spans="5:5" customFormat="1" x14ac:dyDescent="0.25">
      <c r="E1197" s="18"/>
    </row>
    <row r="1198" spans="5:5" customFormat="1" x14ac:dyDescent="0.25">
      <c r="E1198" s="18"/>
    </row>
    <row r="1199" spans="5:5" customFormat="1" x14ac:dyDescent="0.25">
      <c r="E1199" s="18"/>
    </row>
    <row r="1200" spans="5:5" customFormat="1" x14ac:dyDescent="0.25">
      <c r="E1200" s="18"/>
    </row>
  </sheetData>
  <phoneticPr fontId="8" type="noConversion"/>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29a8921-312b-4026-9f32-9ba8d63bfe92" xsi:nil="true"/>
    <_Flow_SignoffStatus xmlns="a89c4f2a-e338-42ae-b7ce-5327aeb09d0a" xsi:nil="true"/>
    <lcf76f155ced4ddcb4097134ff3c332f xmlns="a89c4f2a-e338-42ae-b7ce-5327aeb09d0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1DC3B9F95F333498A82E33422F09FAB" ma:contentTypeVersion="18" ma:contentTypeDescription="Crie um novo documento." ma:contentTypeScope="" ma:versionID="a3df3fda859be0f0367a0bf379a995e2">
  <xsd:schema xmlns:xsd="http://www.w3.org/2001/XMLSchema" xmlns:xs="http://www.w3.org/2001/XMLSchema" xmlns:p="http://schemas.microsoft.com/office/2006/metadata/properties" xmlns:ns2="a89c4f2a-e338-42ae-b7ce-5327aeb09d0a" xmlns:ns3="5482c39d-3bee-4a38-bea7-fee2f8e3babd" xmlns:ns4="329a8921-312b-4026-9f32-9ba8d63bfe92" targetNamespace="http://schemas.microsoft.com/office/2006/metadata/properties" ma:root="true" ma:fieldsID="1018df194d170a631bd7017adf5f5a34" ns2:_="" ns3:_="" ns4:_="">
    <xsd:import namespace="a89c4f2a-e338-42ae-b7ce-5327aeb09d0a"/>
    <xsd:import namespace="5482c39d-3bee-4a38-bea7-fee2f8e3babd"/>
    <xsd:import namespace="329a8921-312b-4026-9f32-9ba8d63bfe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element ref="ns2:_Flow_SignoffStatu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c4f2a-e338-42ae-b7ce-5327aeb09d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f255419-c566-42b2-8349-0f1d378884e7"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Status de liberação" ma:internalName="Status_x0020_de_x0020_libera_x00e7__x00e3_o">
      <xsd:simpleType>
        <xsd:restriction base="dms:Text"/>
      </xsd:simpleType>
    </xsd:element>
    <xsd:element name="MediaServiceDateTaken" ma:index="24" nillable="true" ma:displayName="MediaServiceDateTaken" ma:description="" ma:hidden="true" ma:indexed="true" ma:internalName="MediaServiceDateTaken"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82c39d-3bee-4a38-bea7-fee2f8e3babd"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9a8921-312b-4026-9f32-9ba8d63bfe9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001f36c-1d4b-4f1e-8cba-bdaf377d5dd2}" ma:internalName="TaxCatchAll" ma:showField="CatchAllData" ma:web="329a8921-312b-4026-9f32-9ba8d63bfe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41CC0F-354A-4044-90E6-A080CF96B97E}">
  <ds:schemaRefs>
    <ds:schemaRef ds:uri="http://schemas.microsoft.com/office/2006/metadata/properties"/>
    <ds:schemaRef ds:uri="http://schemas.microsoft.com/office/infopath/2007/PartnerControls"/>
    <ds:schemaRef ds:uri="329a8921-312b-4026-9f32-9ba8d63bfe92"/>
    <ds:schemaRef ds:uri="a89c4f2a-e338-42ae-b7ce-5327aeb09d0a"/>
  </ds:schemaRefs>
</ds:datastoreItem>
</file>

<file path=customXml/itemProps2.xml><?xml version="1.0" encoding="utf-8"?>
<ds:datastoreItem xmlns:ds="http://schemas.openxmlformats.org/officeDocument/2006/customXml" ds:itemID="{C0CFF051-ABBF-43CB-BF1C-D6C4F5BA8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9c4f2a-e338-42ae-b7ce-5327aeb09d0a"/>
    <ds:schemaRef ds:uri="5482c39d-3bee-4a38-bea7-fee2f8e3babd"/>
    <ds:schemaRef ds:uri="329a8921-312b-4026-9f32-9ba8d63bfe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8A47D5-A509-4070-B747-F0E77DDEE9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João Roberto Vieira de Melo</dc:creator>
  <cp:keywords/>
  <dc:description/>
  <cp:lastModifiedBy>João Roberto Vieira de Melo</cp:lastModifiedBy>
  <cp:revision/>
  <dcterms:created xsi:type="dcterms:W3CDTF">2024-02-26T13:00:21Z</dcterms:created>
  <dcterms:modified xsi:type="dcterms:W3CDTF">2024-12-19T12:27:07Z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0x01010091DC3B9F95F333498A82E33422F09FAB</vt:lpwstr>
  </property>
  <property fmtid="{D5CDD505-2E9C-101B-9397-08002B2CF9AE}" pid="3" name="MediaServiceImageTags">
    <vt:lpwstr/>
  </property>
</Properties>
</file>