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https://mpce365.sharepoint.com/teams/PGJ/CAC/NACON/GESTÃO/AUTOMAÇÃO/DISPENSA E INEXIGIBILIDADE - PORTAL DA TRANSPARÊNCIA/"/>
    </mc:Choice>
  </mc:AlternateContent>
  <xr:revisionPtr revIDLastSave="168" documentId="13_ncr:1_{21DC3A0C-B84C-4FB9-8A9C-533B3B36CE37}" xr6:coauthVersionLast="47" xr6:coauthVersionMax="47" xr10:uidLastSave="{A96682C0-D2CD-466D-95F6-A00FF701B1CC}"/>
  <bookViews>
    <workbookView xWindow="44160" yWindow="3570" windowWidth="2400" windowHeight="585" xr2:uid="{EF531BC0-2F8C-4D1A-99EB-02327E6C95EE}"/>
  </bookViews>
  <sheets>
    <sheet name="Planilh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C3" i="1" l="1"/>
  <c r="E3" i="1"/>
  <c r="G3" i="1"/>
  <c r="C4" i="1"/>
  <c r="E4" i="1"/>
  <c r="G4" i="1"/>
  <c r="C5" i="1"/>
  <c r="E5" i="1"/>
  <c r="G5" i="1"/>
  <c r="C6" i="1"/>
  <c r="E6" i="1"/>
  <c r="G6" i="1"/>
  <c r="C7" i="1"/>
  <c r="E7" i="1"/>
  <c r="G7" i="1"/>
  <c r="C8" i="1"/>
  <c r="E8" i="1"/>
  <c r="G8" i="1"/>
  <c r="C9" i="1"/>
  <c r="E9" i="1"/>
  <c r="G9" i="1"/>
  <c r="C10" i="1"/>
  <c r="E10" i="1"/>
  <c r="G10" i="1"/>
  <c r="C11" i="1"/>
  <c r="E11" i="1"/>
  <c r="G11" i="1"/>
  <c r="C12" i="1"/>
  <c r="E12" i="1"/>
  <c r="G12" i="1"/>
  <c r="C13" i="1"/>
  <c r="E13" i="1"/>
  <c r="G13" i="1"/>
  <c r="C14" i="1"/>
  <c r="E14" i="1"/>
  <c r="G14" i="1"/>
  <c r="C15" i="1"/>
  <c r="E15" i="1"/>
  <c r="G15" i="1"/>
  <c r="C16" i="1"/>
  <c r="E16" i="1"/>
  <c r="G16" i="1"/>
  <c r="C17" i="1"/>
  <c r="E17" i="1"/>
  <c r="G17" i="1"/>
  <c r="C18" i="1"/>
  <c r="E18" i="1"/>
  <c r="G18" i="1"/>
  <c r="C19" i="1"/>
  <c r="E19" i="1"/>
  <c r="G19" i="1"/>
  <c r="C20" i="1"/>
  <c r="E20" i="1"/>
  <c r="G20" i="1"/>
  <c r="C21" i="1"/>
  <c r="E21" i="1"/>
  <c r="G21" i="1"/>
  <c r="C22" i="1"/>
  <c r="E22" i="1"/>
  <c r="G22" i="1"/>
  <c r="C23" i="1"/>
  <c r="E23" i="1"/>
  <c r="G23" i="1"/>
  <c r="C24" i="1"/>
  <c r="E24" i="1"/>
  <c r="G24" i="1"/>
  <c r="C25" i="1"/>
  <c r="E25" i="1"/>
  <c r="G25" i="1"/>
  <c r="C26" i="1"/>
  <c r="E26" i="1"/>
  <c r="G26" i="1"/>
  <c r="C27" i="1"/>
  <c r="E27" i="1"/>
  <c r="G27" i="1"/>
  <c r="C28" i="1"/>
  <c r="E28" i="1"/>
  <c r="G28" i="1"/>
  <c r="C29" i="1"/>
  <c r="E29" i="1"/>
  <c r="G29" i="1"/>
  <c r="C30" i="1"/>
  <c r="E30" i="1"/>
  <c r="G30" i="1"/>
  <c r="C31" i="1"/>
  <c r="E31" i="1"/>
  <c r="G31" i="1"/>
  <c r="C32" i="1"/>
  <c r="E32" i="1"/>
  <c r="G32" i="1"/>
  <c r="C33" i="1"/>
  <c r="E33" i="1"/>
  <c r="G33" i="1"/>
  <c r="C34" i="1"/>
  <c r="E34" i="1"/>
  <c r="G34" i="1"/>
  <c r="C35" i="1"/>
  <c r="E35" i="1"/>
  <c r="G35" i="1"/>
  <c r="C36" i="1"/>
  <c r="E36" i="1"/>
  <c r="G36" i="1"/>
  <c r="C37" i="1"/>
  <c r="E37" i="1"/>
  <c r="G37" i="1"/>
  <c r="C38" i="1"/>
  <c r="E38" i="1"/>
  <c r="G38" i="1"/>
  <c r="C39" i="1"/>
  <c r="E39" i="1"/>
  <c r="G39" i="1"/>
  <c r="C40" i="1"/>
  <c r="E40" i="1"/>
  <c r="G40" i="1"/>
  <c r="C41" i="1"/>
  <c r="E41" i="1"/>
  <c r="G41" i="1"/>
  <c r="C42" i="1"/>
  <c r="E42" i="1"/>
  <c r="G42" i="1"/>
  <c r="C43" i="1"/>
  <c r="E43" i="1"/>
  <c r="G43" i="1"/>
  <c r="C44" i="1"/>
  <c r="E44" i="1"/>
  <c r="G44" i="1"/>
  <c r="C45" i="1"/>
  <c r="E45" i="1"/>
  <c r="G45" i="1"/>
  <c r="C46" i="1"/>
  <c r="E46" i="1"/>
  <c r="G46" i="1"/>
  <c r="C47" i="1"/>
  <c r="E47" i="1"/>
  <c r="G47" i="1"/>
  <c r="C48" i="1"/>
  <c r="E48" i="1"/>
  <c r="G48" i="1"/>
  <c r="C49" i="1"/>
  <c r="E49" i="1"/>
  <c r="G49" i="1"/>
  <c r="C50" i="1"/>
  <c r="G50" i="1"/>
  <c r="C51" i="1"/>
  <c r="E51" i="1"/>
  <c r="G51" i="1"/>
  <c r="C52" i="1"/>
  <c r="E52" i="1"/>
  <c r="G52" i="1"/>
  <c r="C53" i="1"/>
  <c r="E53" i="1"/>
  <c r="G53" i="1"/>
  <c r="C54" i="1"/>
  <c r="E54" i="1"/>
  <c r="G54" i="1"/>
  <c r="C55" i="1"/>
  <c r="E55" i="1"/>
  <c r="G55" i="1"/>
  <c r="C56" i="1"/>
  <c r="E56" i="1"/>
  <c r="G56" i="1"/>
  <c r="C57" i="1"/>
  <c r="E57" i="1"/>
  <c r="G57" i="1"/>
  <c r="C58" i="1"/>
  <c r="E58" i="1"/>
  <c r="G58" i="1"/>
  <c r="C59" i="1"/>
  <c r="E59" i="1"/>
  <c r="G59" i="1"/>
  <c r="C60" i="1"/>
  <c r="E60" i="1"/>
  <c r="G60" i="1"/>
  <c r="C61" i="1"/>
  <c r="E61" i="1"/>
  <c r="G61" i="1"/>
  <c r="C62" i="1"/>
  <c r="E62" i="1"/>
  <c r="G62" i="1"/>
  <c r="C63" i="1"/>
  <c r="E63" i="1"/>
  <c r="G63" i="1"/>
  <c r="C64" i="1"/>
  <c r="E64" i="1"/>
  <c r="G64" i="1"/>
  <c r="C65" i="1"/>
  <c r="E65" i="1"/>
  <c r="G65" i="1"/>
  <c r="C66" i="1"/>
  <c r="E66" i="1"/>
  <c r="G66" i="1"/>
  <c r="C67" i="1"/>
  <c r="E67" i="1"/>
  <c r="G67" i="1"/>
  <c r="C68" i="1"/>
  <c r="E68" i="1"/>
  <c r="G68" i="1"/>
  <c r="C69" i="1"/>
  <c r="E69" i="1"/>
  <c r="G69" i="1"/>
  <c r="C70" i="1"/>
  <c r="E70" i="1"/>
  <c r="G70" i="1"/>
  <c r="C71" i="1"/>
  <c r="E71" i="1"/>
  <c r="G71" i="1"/>
  <c r="C72" i="1"/>
  <c r="E72" i="1"/>
  <c r="G72" i="1"/>
  <c r="C73" i="1"/>
  <c r="G73" i="1"/>
  <c r="C74" i="1"/>
  <c r="E74" i="1"/>
  <c r="G74" i="1"/>
  <c r="C75" i="1"/>
  <c r="E75" i="1"/>
  <c r="G75" i="1"/>
  <c r="C76" i="1"/>
  <c r="E76" i="1"/>
  <c r="G76" i="1"/>
  <c r="C77" i="1"/>
  <c r="E77" i="1"/>
  <c r="G77" i="1"/>
  <c r="C78" i="1"/>
  <c r="G78" i="1"/>
  <c r="C79" i="1"/>
  <c r="E79" i="1"/>
  <c r="G79" i="1"/>
  <c r="C80" i="1"/>
  <c r="E80" i="1"/>
  <c r="G80" i="1"/>
  <c r="C81" i="1"/>
  <c r="G81" i="1"/>
  <c r="C82" i="1"/>
  <c r="E82" i="1"/>
  <c r="G82" i="1"/>
  <c r="C83" i="1"/>
  <c r="G83" i="1"/>
  <c r="C84" i="1"/>
  <c r="G84" i="1"/>
  <c r="C85" i="1"/>
  <c r="G85" i="1"/>
  <c r="C86" i="1"/>
  <c r="G86" i="1"/>
  <c r="C87" i="1"/>
  <c r="G87" i="1"/>
  <c r="C88" i="1"/>
  <c r="G88" i="1"/>
  <c r="C89" i="1"/>
  <c r="E89" i="1"/>
  <c r="G89" i="1"/>
  <c r="C90" i="1"/>
  <c r="E90" i="1"/>
  <c r="G90" i="1"/>
  <c r="C91" i="1"/>
  <c r="G91" i="1"/>
  <c r="C92" i="1"/>
  <c r="E92" i="1"/>
  <c r="G92" i="1"/>
  <c r="C93" i="1"/>
  <c r="E93" i="1"/>
  <c r="G93" i="1"/>
  <c r="C94" i="1"/>
  <c r="E94" i="1"/>
  <c r="G94" i="1"/>
  <c r="C95" i="1"/>
  <c r="G95" i="1"/>
  <c r="C96" i="1"/>
  <c r="E96" i="1"/>
  <c r="G96" i="1"/>
  <c r="C97" i="1"/>
  <c r="G97" i="1"/>
  <c r="C98" i="1"/>
  <c r="E98" i="1"/>
  <c r="G98" i="1"/>
  <c r="C99" i="1"/>
  <c r="G99" i="1"/>
  <c r="C100" i="1"/>
  <c r="E100" i="1"/>
  <c r="G100" i="1"/>
  <c r="C101" i="1"/>
  <c r="G101" i="1"/>
  <c r="C102" i="1"/>
  <c r="E102" i="1"/>
  <c r="G102" i="1"/>
  <c r="C103" i="1"/>
  <c r="G103" i="1"/>
  <c r="C104" i="1"/>
  <c r="E104" i="1"/>
  <c r="G104" i="1"/>
  <c r="C105" i="1"/>
  <c r="G105" i="1"/>
  <c r="C106" i="1"/>
  <c r="E106" i="1"/>
  <c r="G106" i="1"/>
  <c r="C107" i="1"/>
  <c r="G107" i="1"/>
  <c r="C108" i="1"/>
  <c r="G108" i="1"/>
  <c r="C109" i="1"/>
  <c r="G109" i="1"/>
  <c r="C110" i="1"/>
  <c r="E110" i="1"/>
  <c r="G110" i="1"/>
  <c r="C111" i="1"/>
  <c r="E111" i="1"/>
  <c r="G111" i="1"/>
  <c r="C112" i="1"/>
  <c r="E112" i="1"/>
  <c r="G112" i="1"/>
  <c r="C113" i="1"/>
  <c r="E113" i="1"/>
  <c r="G113" i="1"/>
  <c r="C114" i="1"/>
  <c r="E114" i="1"/>
  <c r="G114" i="1"/>
  <c r="C115" i="1"/>
  <c r="E115" i="1"/>
  <c r="G115" i="1"/>
  <c r="C116" i="1"/>
  <c r="E116" i="1"/>
  <c r="G116" i="1"/>
  <c r="C117" i="1"/>
  <c r="E117" i="1"/>
  <c r="G117" i="1"/>
  <c r="C118" i="1"/>
  <c r="E118" i="1"/>
  <c r="G118" i="1"/>
  <c r="C119" i="1"/>
  <c r="E119" i="1"/>
  <c r="G119" i="1"/>
  <c r="C120" i="1"/>
  <c r="E120" i="1"/>
  <c r="G120" i="1"/>
  <c r="C121" i="1"/>
  <c r="E121" i="1"/>
  <c r="G121" i="1"/>
  <c r="C122" i="1"/>
  <c r="E122" i="1"/>
  <c r="G122" i="1"/>
  <c r="C123" i="1"/>
  <c r="E123" i="1"/>
  <c r="G123" i="1"/>
  <c r="C124" i="1"/>
  <c r="G124" i="1"/>
  <c r="C125" i="1"/>
  <c r="E125" i="1"/>
  <c r="G125" i="1"/>
  <c r="C126" i="1"/>
  <c r="E126" i="1"/>
  <c r="G126" i="1"/>
  <c r="C127" i="1"/>
  <c r="E127" i="1"/>
  <c r="G127" i="1"/>
  <c r="C128" i="1"/>
  <c r="E128" i="1"/>
  <c r="G128" i="1"/>
  <c r="C129" i="1"/>
  <c r="E129" i="1"/>
  <c r="G129" i="1"/>
  <c r="C130" i="1"/>
  <c r="E130" i="1"/>
  <c r="G130" i="1"/>
  <c r="C131" i="1"/>
  <c r="E131" i="1"/>
  <c r="G131" i="1"/>
  <c r="C132" i="1"/>
  <c r="E132" i="1"/>
  <c r="G132" i="1"/>
  <c r="C133" i="1"/>
  <c r="E133" i="1"/>
  <c r="G133" i="1"/>
  <c r="C134" i="1"/>
  <c r="E134" i="1"/>
  <c r="G134" i="1"/>
  <c r="C135" i="1"/>
  <c r="E135" i="1"/>
  <c r="G135" i="1"/>
  <c r="C136" i="1"/>
  <c r="E136" i="1"/>
  <c r="G136" i="1"/>
  <c r="C137" i="1"/>
  <c r="E137" i="1"/>
  <c r="G137" i="1"/>
  <c r="C138" i="1"/>
  <c r="E138" i="1"/>
  <c r="G138" i="1"/>
  <c r="C139" i="1"/>
  <c r="E139" i="1"/>
  <c r="G139" i="1"/>
  <c r="C140" i="1"/>
  <c r="G140" i="1"/>
  <c r="C141" i="1"/>
  <c r="E141" i="1"/>
  <c r="G141" i="1"/>
  <c r="C142" i="1"/>
  <c r="E142" i="1"/>
  <c r="G142" i="1"/>
  <c r="C143" i="1"/>
  <c r="E143" i="1"/>
  <c r="G143" i="1"/>
  <c r="C144" i="1"/>
  <c r="E144" i="1"/>
  <c r="G144" i="1"/>
  <c r="C145" i="1"/>
  <c r="E145" i="1"/>
  <c r="G145" i="1"/>
  <c r="C146" i="1"/>
  <c r="E146" i="1"/>
  <c r="G146" i="1"/>
  <c r="C147" i="1"/>
  <c r="E147" i="1"/>
  <c r="G147" i="1"/>
  <c r="C148" i="1"/>
  <c r="E148" i="1"/>
  <c r="G148" i="1"/>
  <c r="C149" i="1"/>
  <c r="E149" i="1"/>
  <c r="G149" i="1"/>
  <c r="C150" i="1"/>
  <c r="E150" i="1"/>
  <c r="G150" i="1"/>
  <c r="C151" i="1"/>
  <c r="E151" i="1"/>
  <c r="G151" i="1"/>
  <c r="C152" i="1"/>
  <c r="E152" i="1"/>
  <c r="G152" i="1"/>
  <c r="C153" i="1"/>
  <c r="E153" i="1"/>
  <c r="G153" i="1"/>
  <c r="C154" i="1"/>
  <c r="E154" i="1"/>
  <c r="G154" i="1"/>
  <c r="C155" i="1"/>
  <c r="E155" i="1"/>
  <c r="G155" i="1"/>
  <c r="C156" i="1"/>
  <c r="E156" i="1"/>
  <c r="G156" i="1"/>
  <c r="C157" i="1"/>
  <c r="E157" i="1"/>
  <c r="G157" i="1"/>
  <c r="C158" i="1"/>
  <c r="E158" i="1"/>
  <c r="G158" i="1"/>
  <c r="C159" i="1"/>
  <c r="E159" i="1"/>
  <c r="G159" i="1"/>
  <c r="C160" i="1"/>
  <c r="E160" i="1"/>
  <c r="G160" i="1"/>
  <c r="C161" i="1"/>
  <c r="E161" i="1"/>
  <c r="G161" i="1"/>
  <c r="C162" i="1"/>
  <c r="E162" i="1"/>
  <c r="G162" i="1"/>
  <c r="C163" i="1"/>
  <c r="E163" i="1"/>
  <c r="G163" i="1"/>
  <c r="C164" i="1"/>
  <c r="E164" i="1"/>
  <c r="G164" i="1"/>
  <c r="C165" i="1"/>
  <c r="E165" i="1"/>
  <c r="G165" i="1"/>
  <c r="C166" i="1"/>
  <c r="E166" i="1"/>
  <c r="G166" i="1"/>
  <c r="C167" i="1"/>
  <c r="E167" i="1"/>
  <c r="G167" i="1"/>
  <c r="C168" i="1"/>
  <c r="E168" i="1"/>
  <c r="G168" i="1"/>
  <c r="C169" i="1"/>
  <c r="E169" i="1"/>
  <c r="G169" i="1"/>
  <c r="C170" i="1"/>
  <c r="E170" i="1"/>
  <c r="G170" i="1"/>
  <c r="C171" i="1"/>
  <c r="E171" i="1"/>
  <c r="G171" i="1"/>
  <c r="C172" i="1"/>
  <c r="E172" i="1"/>
  <c r="G172" i="1"/>
  <c r="C173" i="1"/>
  <c r="E173" i="1"/>
  <c r="G173" i="1"/>
  <c r="C174" i="1"/>
  <c r="G174" i="1"/>
  <c r="C175" i="1"/>
  <c r="E175" i="1"/>
  <c r="G175" i="1"/>
  <c r="C176" i="1"/>
  <c r="E176" i="1"/>
  <c r="G176" i="1"/>
  <c r="C177" i="1"/>
  <c r="E177" i="1"/>
  <c r="G177" i="1"/>
  <c r="C178" i="1"/>
  <c r="E178" i="1"/>
  <c r="G178" i="1"/>
  <c r="C179" i="1"/>
  <c r="E179" i="1"/>
  <c r="G179" i="1"/>
  <c r="C180" i="1"/>
  <c r="E180" i="1"/>
  <c r="G180" i="1"/>
  <c r="C181" i="1"/>
  <c r="E181" i="1"/>
  <c r="G181" i="1"/>
  <c r="C182" i="1"/>
  <c r="E182" i="1"/>
  <c r="G182" i="1"/>
  <c r="C183" i="1"/>
  <c r="E183" i="1"/>
  <c r="G183" i="1"/>
  <c r="C184" i="1"/>
  <c r="E184" i="1"/>
  <c r="G184" i="1"/>
  <c r="C185" i="1"/>
  <c r="E185" i="1"/>
  <c r="G185" i="1"/>
  <c r="C186" i="1"/>
  <c r="E186" i="1"/>
  <c r="G186" i="1"/>
  <c r="C187" i="1"/>
  <c r="E187" i="1"/>
  <c r="G187" i="1"/>
  <c r="C188" i="1"/>
  <c r="E188" i="1"/>
  <c r="G188" i="1"/>
  <c r="C189" i="1"/>
  <c r="E189" i="1"/>
  <c r="G189" i="1"/>
  <c r="C190" i="1"/>
  <c r="E190" i="1"/>
  <c r="G190" i="1"/>
  <c r="C191" i="1"/>
  <c r="E191" i="1"/>
  <c r="G191" i="1"/>
  <c r="C192" i="1"/>
  <c r="E192" i="1"/>
  <c r="G192" i="1"/>
  <c r="C193" i="1"/>
  <c r="E193" i="1"/>
  <c r="G193" i="1"/>
  <c r="C194" i="1"/>
  <c r="E194" i="1"/>
  <c r="G194" i="1"/>
  <c r="C195" i="1"/>
  <c r="E195" i="1"/>
  <c r="G195" i="1"/>
  <c r="C196" i="1"/>
  <c r="E196" i="1"/>
  <c r="G196" i="1"/>
  <c r="C197" i="1"/>
  <c r="E197" i="1"/>
  <c r="G197" i="1"/>
  <c r="C198" i="1"/>
  <c r="E198" i="1"/>
  <c r="G198" i="1"/>
  <c r="C199" i="1"/>
  <c r="G199" i="1"/>
  <c r="C200" i="1"/>
  <c r="E200" i="1"/>
  <c r="G200" i="1"/>
  <c r="C201" i="1"/>
  <c r="E201" i="1"/>
  <c r="G201" i="1"/>
  <c r="C202" i="1"/>
  <c r="E202" i="1"/>
  <c r="G202" i="1"/>
  <c r="C203" i="1"/>
  <c r="E203" i="1"/>
  <c r="G203" i="1"/>
  <c r="C204" i="1"/>
  <c r="E204" i="1"/>
  <c r="G204" i="1"/>
  <c r="C205" i="1"/>
  <c r="E205" i="1"/>
  <c r="G205" i="1"/>
  <c r="C206" i="1"/>
  <c r="E206" i="1"/>
  <c r="G206" i="1"/>
  <c r="C207" i="1"/>
  <c r="E207" i="1"/>
  <c r="G207" i="1"/>
  <c r="C208" i="1"/>
  <c r="E208" i="1"/>
  <c r="G208" i="1"/>
  <c r="C209" i="1"/>
  <c r="E209" i="1"/>
  <c r="G209" i="1"/>
  <c r="C210" i="1"/>
  <c r="E210" i="1"/>
  <c r="G210" i="1"/>
  <c r="C211" i="1"/>
  <c r="E211" i="1"/>
  <c r="G211" i="1"/>
  <c r="C212" i="1"/>
  <c r="E212" i="1"/>
  <c r="G212" i="1"/>
  <c r="C213" i="1"/>
  <c r="E213" i="1"/>
  <c r="G213" i="1"/>
  <c r="C214" i="1"/>
  <c r="E214" i="1"/>
  <c r="G214" i="1"/>
  <c r="C215" i="1"/>
  <c r="E215" i="1"/>
  <c r="G215" i="1"/>
  <c r="C216" i="1"/>
  <c r="E216" i="1"/>
  <c r="G216" i="1"/>
  <c r="C217" i="1"/>
  <c r="E217" i="1"/>
  <c r="G217" i="1"/>
  <c r="C218" i="1"/>
  <c r="E218" i="1"/>
  <c r="G218" i="1"/>
  <c r="C219" i="1"/>
  <c r="G219" i="1"/>
  <c r="C220" i="1"/>
  <c r="E220" i="1"/>
  <c r="G220" i="1"/>
  <c r="C221" i="1"/>
  <c r="E221" i="1"/>
  <c r="G221" i="1"/>
  <c r="C222" i="1"/>
  <c r="E222" i="1"/>
  <c r="G222" i="1"/>
  <c r="C223" i="1"/>
  <c r="E223" i="1"/>
  <c r="G223" i="1"/>
  <c r="C224" i="1"/>
  <c r="E224" i="1"/>
  <c r="G224" i="1"/>
  <c r="C225" i="1"/>
  <c r="E225" i="1"/>
  <c r="G225" i="1"/>
  <c r="C226" i="1"/>
  <c r="E226" i="1"/>
  <c r="G226" i="1"/>
  <c r="C227" i="1"/>
  <c r="E227" i="1"/>
  <c r="G227" i="1"/>
  <c r="C228" i="1"/>
  <c r="E228" i="1"/>
  <c r="G228" i="1"/>
  <c r="C229" i="1"/>
  <c r="E229" i="1"/>
  <c r="G229" i="1"/>
  <c r="C230" i="1"/>
  <c r="E230" i="1"/>
  <c r="G230" i="1"/>
  <c r="C231" i="1"/>
  <c r="E231" i="1"/>
  <c r="G231" i="1"/>
  <c r="C232" i="1"/>
  <c r="E232" i="1"/>
  <c r="G232" i="1"/>
  <c r="C233" i="1"/>
  <c r="E233" i="1"/>
  <c r="G233" i="1"/>
  <c r="C234" i="1"/>
  <c r="E234" i="1"/>
  <c r="G234" i="1"/>
  <c r="C235" i="1"/>
  <c r="E235" i="1"/>
  <c r="G235" i="1"/>
  <c r="C236" i="1"/>
  <c r="E236" i="1"/>
  <c r="G236" i="1"/>
  <c r="C237" i="1"/>
  <c r="E237" i="1"/>
  <c r="G237" i="1"/>
  <c r="C238" i="1"/>
  <c r="E238" i="1"/>
  <c r="G238" i="1"/>
  <c r="C239" i="1"/>
  <c r="E239" i="1"/>
  <c r="G239" i="1"/>
  <c r="C240" i="1"/>
  <c r="G240" i="1"/>
  <c r="C241" i="1"/>
  <c r="E241" i="1"/>
  <c r="G241" i="1"/>
  <c r="C242" i="1"/>
  <c r="E242" i="1"/>
  <c r="G242" i="1"/>
  <c r="C243" i="1"/>
  <c r="E243" i="1"/>
  <c r="G243" i="1"/>
  <c r="C244" i="1"/>
  <c r="E244" i="1"/>
  <c r="G244" i="1"/>
  <c r="C245" i="1"/>
  <c r="E245" i="1"/>
  <c r="G245" i="1"/>
  <c r="C246" i="1"/>
  <c r="E246" i="1"/>
  <c r="G246" i="1"/>
  <c r="C247" i="1"/>
  <c r="E247" i="1"/>
  <c r="G247" i="1"/>
  <c r="C248" i="1"/>
  <c r="E248" i="1"/>
  <c r="G248" i="1"/>
  <c r="C249" i="1"/>
  <c r="E249" i="1"/>
  <c r="G249" i="1"/>
  <c r="C250" i="1"/>
  <c r="E250" i="1"/>
  <c r="G250" i="1"/>
  <c r="C251" i="1"/>
  <c r="E251" i="1"/>
  <c r="G251" i="1"/>
  <c r="C252" i="1"/>
  <c r="E252" i="1"/>
  <c r="G252" i="1"/>
  <c r="C253" i="1"/>
  <c r="E253" i="1"/>
  <c r="G253" i="1"/>
  <c r="C254" i="1"/>
  <c r="E254" i="1"/>
  <c r="G254" i="1"/>
  <c r="C255" i="1"/>
  <c r="E255" i="1"/>
  <c r="G255" i="1"/>
  <c r="C256" i="1"/>
  <c r="E256" i="1"/>
  <c r="G256" i="1"/>
  <c r="C257" i="1"/>
  <c r="E257" i="1"/>
  <c r="G257" i="1"/>
  <c r="C258" i="1"/>
  <c r="E258" i="1"/>
  <c r="G258" i="1"/>
  <c r="C259" i="1"/>
  <c r="E259" i="1"/>
  <c r="G259" i="1"/>
  <c r="C260" i="1"/>
  <c r="E260" i="1"/>
  <c r="G260" i="1"/>
  <c r="C261" i="1"/>
  <c r="E261" i="1"/>
  <c r="G261" i="1"/>
  <c r="C262" i="1"/>
  <c r="E262" i="1"/>
  <c r="G262" i="1"/>
  <c r="C263" i="1"/>
  <c r="E263" i="1"/>
  <c r="G263" i="1"/>
  <c r="C264" i="1"/>
  <c r="E264" i="1"/>
  <c r="G264" i="1"/>
  <c r="C265" i="1"/>
  <c r="G265" i="1"/>
  <c r="C266" i="1"/>
  <c r="G266" i="1"/>
  <c r="C267" i="1"/>
  <c r="G267" i="1"/>
  <c r="C268" i="1"/>
  <c r="G268" i="1"/>
  <c r="C269" i="1"/>
  <c r="G269" i="1"/>
  <c r="C270" i="1"/>
  <c r="G270" i="1"/>
  <c r="C271" i="1"/>
  <c r="E271" i="1"/>
  <c r="G271" i="1"/>
  <c r="C272" i="1"/>
  <c r="G272" i="1"/>
  <c r="C273" i="1"/>
  <c r="E273" i="1"/>
  <c r="G273" i="1"/>
  <c r="C274" i="1"/>
  <c r="E274" i="1"/>
  <c r="G274" i="1"/>
  <c r="C275" i="1"/>
  <c r="G275" i="1"/>
  <c r="C276" i="1"/>
  <c r="E276" i="1"/>
  <c r="G276" i="1"/>
  <c r="C277" i="1"/>
  <c r="E277" i="1"/>
  <c r="G277" i="1"/>
  <c r="C278" i="1"/>
  <c r="G278" i="1"/>
  <c r="C279" i="1"/>
  <c r="G279" i="1"/>
  <c r="C280" i="1"/>
  <c r="G280" i="1"/>
  <c r="C281" i="1"/>
  <c r="G281" i="1"/>
  <c r="C282" i="1"/>
  <c r="G282" i="1"/>
  <c r="C283" i="1"/>
  <c r="G283" i="1"/>
  <c r="C284" i="1"/>
  <c r="G284" i="1"/>
  <c r="C285" i="1"/>
  <c r="G285" i="1"/>
  <c r="C286" i="1"/>
  <c r="E286" i="1"/>
  <c r="G286" i="1"/>
  <c r="C287" i="1"/>
  <c r="E287" i="1"/>
  <c r="G287" i="1"/>
  <c r="C288" i="1"/>
  <c r="E288" i="1"/>
  <c r="G288" i="1"/>
  <c r="C289" i="1"/>
  <c r="E289" i="1"/>
  <c r="G289" i="1"/>
  <c r="C290" i="1"/>
  <c r="G290" i="1"/>
  <c r="C291" i="1"/>
  <c r="E291" i="1"/>
  <c r="G291" i="1"/>
  <c r="C292" i="1"/>
  <c r="E292" i="1"/>
  <c r="G292" i="1"/>
  <c r="C293" i="1"/>
  <c r="E293" i="1"/>
  <c r="G293" i="1"/>
  <c r="C294" i="1"/>
  <c r="G294" i="1"/>
  <c r="C295" i="1"/>
  <c r="E295" i="1"/>
  <c r="G295" i="1"/>
  <c r="C296" i="1"/>
  <c r="G296" i="1"/>
  <c r="C297" i="1"/>
  <c r="E297" i="1"/>
  <c r="G297" i="1"/>
  <c r="C298" i="1"/>
  <c r="E298" i="1"/>
  <c r="G298" i="1"/>
  <c r="C299" i="1"/>
  <c r="E299" i="1"/>
  <c r="G299" i="1"/>
  <c r="C300" i="1"/>
  <c r="E300" i="1"/>
  <c r="G300" i="1"/>
  <c r="C301" i="1"/>
  <c r="E301" i="1"/>
  <c r="G301" i="1"/>
  <c r="C302" i="1"/>
  <c r="E302" i="1"/>
  <c r="G302" i="1"/>
  <c r="C303" i="1"/>
  <c r="E303" i="1"/>
  <c r="G303" i="1"/>
  <c r="C304" i="1"/>
  <c r="G304" i="1"/>
  <c r="C305" i="1"/>
  <c r="E305" i="1"/>
  <c r="G305" i="1"/>
  <c r="C306" i="1"/>
  <c r="E306" i="1"/>
  <c r="G306" i="1"/>
  <c r="C307" i="1"/>
  <c r="E307" i="1"/>
  <c r="G307" i="1"/>
  <c r="C308" i="1"/>
  <c r="G308" i="1"/>
  <c r="C309" i="1"/>
  <c r="E309" i="1"/>
  <c r="G309" i="1"/>
  <c r="C310" i="1"/>
  <c r="E310" i="1"/>
  <c r="G310" i="1"/>
  <c r="C311" i="1"/>
  <c r="E311" i="1"/>
  <c r="G311" i="1"/>
  <c r="C312" i="1"/>
  <c r="E312" i="1"/>
  <c r="G312" i="1"/>
  <c r="C313" i="1"/>
  <c r="E313" i="1"/>
  <c r="G313" i="1"/>
  <c r="C314" i="1"/>
  <c r="E314" i="1"/>
  <c r="G314" i="1"/>
  <c r="C315" i="1"/>
  <c r="E315" i="1"/>
  <c r="G315" i="1"/>
  <c r="C316" i="1"/>
  <c r="E316" i="1"/>
  <c r="G316" i="1"/>
  <c r="C317" i="1"/>
  <c r="E317" i="1"/>
  <c r="G317" i="1"/>
  <c r="C318" i="1"/>
  <c r="E318" i="1"/>
  <c r="G318" i="1"/>
  <c r="C319" i="1"/>
  <c r="E319" i="1"/>
  <c r="G319" i="1"/>
  <c r="C320" i="1"/>
  <c r="E320" i="1"/>
  <c r="G320" i="1"/>
  <c r="C321" i="1"/>
  <c r="E321" i="1"/>
  <c r="G321" i="1"/>
  <c r="C322" i="1"/>
  <c r="E322" i="1"/>
  <c r="G322" i="1"/>
  <c r="C323" i="1"/>
  <c r="E323" i="1"/>
  <c r="G323" i="1"/>
  <c r="C324" i="1"/>
  <c r="E324" i="1"/>
  <c r="G324" i="1"/>
  <c r="C325" i="1"/>
  <c r="E325" i="1"/>
  <c r="G325" i="1"/>
  <c r="C326" i="1"/>
  <c r="G326" i="1"/>
  <c r="C327" i="1"/>
  <c r="E327" i="1"/>
  <c r="G327" i="1"/>
  <c r="C328" i="1"/>
  <c r="E328" i="1"/>
  <c r="G328" i="1"/>
  <c r="C329" i="1"/>
  <c r="E329" i="1"/>
  <c r="G329" i="1"/>
  <c r="C330" i="1"/>
  <c r="E330" i="1"/>
  <c r="G330" i="1"/>
  <c r="C331" i="1"/>
  <c r="E331" i="1"/>
  <c r="G331" i="1"/>
  <c r="C332" i="1"/>
  <c r="E332" i="1"/>
  <c r="G332" i="1"/>
  <c r="C333" i="1"/>
  <c r="E333" i="1"/>
  <c r="G333" i="1"/>
  <c r="C334" i="1"/>
  <c r="E334" i="1"/>
  <c r="G334" i="1"/>
  <c r="C335" i="1"/>
  <c r="E335" i="1"/>
  <c r="G335" i="1"/>
  <c r="C336" i="1"/>
  <c r="E336" i="1"/>
  <c r="G336" i="1"/>
  <c r="C337" i="1"/>
  <c r="E337" i="1"/>
  <c r="G337" i="1"/>
  <c r="C338" i="1"/>
  <c r="E338" i="1"/>
  <c r="G338" i="1"/>
  <c r="C339" i="1"/>
  <c r="E339" i="1"/>
  <c r="G339" i="1"/>
  <c r="C340" i="1"/>
  <c r="E340" i="1"/>
  <c r="G340" i="1"/>
  <c r="C341" i="1"/>
  <c r="E341" i="1"/>
  <c r="G341" i="1"/>
  <c r="C342" i="1"/>
  <c r="E342" i="1"/>
  <c r="G342" i="1"/>
  <c r="C343" i="1"/>
  <c r="G343" i="1"/>
  <c r="C344" i="1"/>
  <c r="E344" i="1"/>
  <c r="G344" i="1"/>
  <c r="C345" i="1"/>
  <c r="G345" i="1"/>
  <c r="C346" i="1"/>
  <c r="G346" i="1"/>
  <c r="C347" i="1"/>
  <c r="E347" i="1"/>
  <c r="G347" i="1"/>
  <c r="C348" i="1"/>
  <c r="E348" i="1"/>
  <c r="G348" i="1"/>
  <c r="C349" i="1"/>
  <c r="E349" i="1"/>
  <c r="G349" i="1"/>
  <c r="C350" i="1"/>
  <c r="E350" i="1"/>
  <c r="G350" i="1"/>
  <c r="C351" i="1"/>
  <c r="E351" i="1"/>
  <c r="G351" i="1"/>
  <c r="C352" i="1"/>
  <c r="E352" i="1"/>
  <c r="G352" i="1"/>
  <c r="C353" i="1"/>
  <c r="E353" i="1"/>
  <c r="G353" i="1"/>
  <c r="C354" i="1"/>
  <c r="E354" i="1"/>
  <c r="G354" i="1"/>
  <c r="C355" i="1"/>
  <c r="E355" i="1"/>
  <c r="G355" i="1"/>
  <c r="C356" i="1"/>
  <c r="E356" i="1"/>
  <c r="G356" i="1"/>
  <c r="C357" i="1"/>
  <c r="E357" i="1"/>
  <c r="G357" i="1"/>
  <c r="C358" i="1"/>
  <c r="E358" i="1"/>
  <c r="G358" i="1"/>
  <c r="C359" i="1"/>
  <c r="E359" i="1"/>
  <c r="G359" i="1"/>
  <c r="C360" i="1"/>
  <c r="E360" i="1"/>
  <c r="G360" i="1"/>
  <c r="C361" i="1"/>
  <c r="E361" i="1"/>
  <c r="G361" i="1"/>
  <c r="C362" i="1"/>
  <c r="E362" i="1"/>
  <c r="G362" i="1"/>
  <c r="C363" i="1"/>
  <c r="E363" i="1"/>
  <c r="G363" i="1"/>
  <c r="C364" i="1"/>
  <c r="E364" i="1"/>
  <c r="G364" i="1"/>
  <c r="C365" i="1"/>
  <c r="E365" i="1"/>
  <c r="G365" i="1"/>
  <c r="C366" i="1"/>
  <c r="E366" i="1"/>
  <c r="G366" i="1"/>
  <c r="C367" i="1"/>
  <c r="E367" i="1"/>
  <c r="G367" i="1"/>
  <c r="C368" i="1"/>
  <c r="E368" i="1"/>
  <c r="G368" i="1"/>
  <c r="C369" i="1"/>
  <c r="E369" i="1"/>
  <c r="G369" i="1"/>
  <c r="C370" i="1"/>
  <c r="E370" i="1"/>
  <c r="G370" i="1"/>
  <c r="C371" i="1"/>
  <c r="E371" i="1"/>
  <c r="G371" i="1"/>
  <c r="C372" i="1"/>
  <c r="E372" i="1"/>
  <c r="G372" i="1"/>
  <c r="C373" i="1"/>
  <c r="E373" i="1"/>
  <c r="G373" i="1"/>
  <c r="C374" i="1"/>
  <c r="E374" i="1"/>
  <c r="G374" i="1"/>
  <c r="C375" i="1"/>
  <c r="E375" i="1"/>
  <c r="G375" i="1"/>
  <c r="C376" i="1"/>
  <c r="E376" i="1"/>
  <c r="G376" i="1"/>
  <c r="C377" i="1"/>
  <c r="E377" i="1"/>
  <c r="G377" i="1"/>
  <c r="C378" i="1"/>
  <c r="E378" i="1"/>
  <c r="G378" i="1"/>
  <c r="C379" i="1"/>
  <c r="E379" i="1"/>
  <c r="G379" i="1"/>
  <c r="C380" i="1"/>
  <c r="E380" i="1"/>
  <c r="G380" i="1"/>
  <c r="C381" i="1"/>
  <c r="E381" i="1"/>
  <c r="G381" i="1"/>
  <c r="C382" i="1"/>
  <c r="G382" i="1"/>
  <c r="C383" i="1"/>
  <c r="E383" i="1"/>
  <c r="G383" i="1"/>
  <c r="C384" i="1"/>
  <c r="E384" i="1"/>
  <c r="G384" i="1"/>
  <c r="C385" i="1"/>
  <c r="E385" i="1"/>
  <c r="G385" i="1"/>
  <c r="C386" i="1"/>
  <c r="E386" i="1"/>
  <c r="G386" i="1"/>
  <c r="C387" i="1"/>
  <c r="E387" i="1"/>
  <c r="G387" i="1"/>
  <c r="C388" i="1"/>
  <c r="G388" i="1"/>
  <c r="C389" i="1"/>
  <c r="G389" i="1"/>
  <c r="C390" i="1"/>
  <c r="E390" i="1"/>
  <c r="G390" i="1"/>
  <c r="C391" i="1"/>
  <c r="E391" i="1"/>
  <c r="G391" i="1"/>
  <c r="C392" i="1"/>
  <c r="E392" i="1"/>
  <c r="G392" i="1"/>
  <c r="C393" i="1"/>
  <c r="E393" i="1"/>
  <c r="G393" i="1"/>
  <c r="C394" i="1"/>
  <c r="E394" i="1"/>
  <c r="G394" i="1"/>
  <c r="C395" i="1"/>
  <c r="E395" i="1"/>
  <c r="G395" i="1"/>
  <c r="C396" i="1"/>
  <c r="E396" i="1"/>
  <c r="G396" i="1"/>
  <c r="C397" i="1"/>
  <c r="E397" i="1"/>
  <c r="G397" i="1"/>
  <c r="C398" i="1"/>
  <c r="E398" i="1"/>
  <c r="G398" i="1"/>
  <c r="C399" i="1"/>
  <c r="E399" i="1"/>
  <c r="G399" i="1"/>
  <c r="C400" i="1"/>
  <c r="E400" i="1"/>
  <c r="G400" i="1"/>
  <c r="C401" i="1"/>
  <c r="E401" i="1"/>
  <c r="G401" i="1"/>
  <c r="C402" i="1"/>
  <c r="E402" i="1"/>
  <c r="G402" i="1"/>
  <c r="C403" i="1"/>
  <c r="E403" i="1"/>
  <c r="G403" i="1"/>
  <c r="C404" i="1"/>
  <c r="E404" i="1"/>
  <c r="G404" i="1"/>
  <c r="C405" i="1"/>
  <c r="E405" i="1"/>
  <c r="G405" i="1"/>
  <c r="C406" i="1"/>
  <c r="E406" i="1"/>
  <c r="G406" i="1"/>
  <c r="C407" i="1"/>
  <c r="E407" i="1"/>
  <c r="G407" i="1"/>
  <c r="C408" i="1"/>
  <c r="E408" i="1"/>
  <c r="G408" i="1"/>
  <c r="C409" i="1"/>
  <c r="G409" i="1"/>
  <c r="C410" i="1"/>
  <c r="E410" i="1"/>
  <c r="G410" i="1"/>
  <c r="C411" i="1"/>
  <c r="E411" i="1"/>
  <c r="G411" i="1"/>
  <c r="C412" i="1"/>
  <c r="E412" i="1"/>
  <c r="G412" i="1"/>
  <c r="C413" i="1"/>
  <c r="E413" i="1"/>
  <c r="G413" i="1"/>
  <c r="C414" i="1"/>
  <c r="E414" i="1"/>
  <c r="G414" i="1"/>
  <c r="C415" i="1"/>
  <c r="G415" i="1"/>
  <c r="C416" i="1"/>
  <c r="G416" i="1"/>
  <c r="C417" i="1"/>
  <c r="E417" i="1"/>
  <c r="G417" i="1"/>
  <c r="C418" i="1"/>
  <c r="E418" i="1"/>
  <c r="G418" i="1"/>
  <c r="C419" i="1"/>
  <c r="E419" i="1"/>
  <c r="G419" i="1"/>
  <c r="C420" i="1"/>
  <c r="E420" i="1"/>
  <c r="G420" i="1"/>
  <c r="C421" i="1"/>
  <c r="E421" i="1"/>
  <c r="G421" i="1"/>
  <c r="C422" i="1"/>
  <c r="E422" i="1"/>
  <c r="G422" i="1"/>
  <c r="C423" i="1"/>
  <c r="E423" i="1"/>
  <c r="G423" i="1"/>
  <c r="C424" i="1"/>
  <c r="E424" i="1"/>
  <c r="G424" i="1"/>
  <c r="C425" i="1"/>
  <c r="E425" i="1"/>
  <c r="G425" i="1"/>
  <c r="C426" i="1"/>
  <c r="G426" i="1"/>
  <c r="C427" i="1"/>
  <c r="E427" i="1"/>
  <c r="G427" i="1"/>
  <c r="C428" i="1"/>
  <c r="E428" i="1"/>
  <c r="G428" i="1"/>
  <c r="C429" i="1"/>
  <c r="E429" i="1"/>
  <c r="G429" i="1"/>
  <c r="C430" i="1"/>
  <c r="G430" i="1"/>
  <c r="C431" i="1"/>
  <c r="G431" i="1"/>
  <c r="C432" i="1"/>
  <c r="E432" i="1"/>
  <c r="G432" i="1"/>
  <c r="C433" i="1"/>
  <c r="G433" i="1"/>
  <c r="C434" i="1"/>
  <c r="G434" i="1"/>
  <c r="C435" i="1"/>
  <c r="G435" i="1"/>
  <c r="C436" i="1"/>
  <c r="E436" i="1"/>
  <c r="G436" i="1"/>
  <c r="C437" i="1"/>
  <c r="E437" i="1"/>
  <c r="G437" i="1"/>
  <c r="C438" i="1"/>
  <c r="G438" i="1"/>
  <c r="C439" i="1"/>
  <c r="G439" i="1"/>
  <c r="C440" i="1"/>
  <c r="E440" i="1"/>
  <c r="G440" i="1"/>
  <c r="C441" i="1"/>
  <c r="G441" i="1"/>
  <c r="C442" i="1"/>
  <c r="G442" i="1"/>
  <c r="C443" i="1"/>
  <c r="G443" i="1"/>
  <c r="C444" i="1"/>
  <c r="G444" i="1"/>
  <c r="C445" i="1"/>
  <c r="G445" i="1"/>
  <c r="C446" i="1"/>
  <c r="G446" i="1"/>
  <c r="C447" i="1"/>
  <c r="G447" i="1"/>
  <c r="C448" i="1"/>
  <c r="G448" i="1"/>
  <c r="C449" i="1"/>
  <c r="G449" i="1"/>
  <c r="C450" i="1"/>
  <c r="G450" i="1"/>
  <c r="C451" i="1"/>
  <c r="G451" i="1"/>
  <c r="C452" i="1"/>
  <c r="G452" i="1"/>
  <c r="C453" i="1"/>
  <c r="G453" i="1"/>
  <c r="C454" i="1"/>
  <c r="E454" i="1"/>
  <c r="G454" i="1"/>
  <c r="C455" i="1"/>
  <c r="G455" i="1"/>
  <c r="C456" i="1"/>
  <c r="G456" i="1"/>
  <c r="C457" i="1"/>
  <c r="G457" i="1"/>
  <c r="C458" i="1"/>
  <c r="G458" i="1"/>
  <c r="C459" i="1"/>
  <c r="E459" i="1"/>
  <c r="G459" i="1"/>
  <c r="C460" i="1"/>
  <c r="E460" i="1"/>
  <c r="G460" i="1"/>
  <c r="C461" i="1"/>
  <c r="E461" i="1"/>
  <c r="G461" i="1"/>
  <c r="C462" i="1"/>
  <c r="E462" i="1"/>
  <c r="G462" i="1"/>
  <c r="C463" i="1"/>
  <c r="E463" i="1"/>
  <c r="G463" i="1"/>
  <c r="C464" i="1"/>
  <c r="E464" i="1"/>
  <c r="G464" i="1"/>
  <c r="C465" i="1"/>
  <c r="E465" i="1"/>
  <c r="G465" i="1"/>
  <c r="C466" i="1"/>
  <c r="E466" i="1"/>
  <c r="G466" i="1"/>
  <c r="C467" i="1"/>
  <c r="E467" i="1"/>
  <c r="G467" i="1"/>
  <c r="C468" i="1"/>
  <c r="E468" i="1"/>
  <c r="G468" i="1"/>
  <c r="C469" i="1"/>
  <c r="E469" i="1"/>
  <c r="G469" i="1"/>
  <c r="C470" i="1"/>
  <c r="E470" i="1"/>
  <c r="G470" i="1"/>
  <c r="C471" i="1"/>
  <c r="E471" i="1"/>
  <c r="G471" i="1"/>
  <c r="C472" i="1"/>
  <c r="E472" i="1"/>
  <c r="G472" i="1"/>
  <c r="C473" i="1"/>
  <c r="E473" i="1"/>
  <c r="G473" i="1"/>
  <c r="C474" i="1"/>
  <c r="E474" i="1"/>
  <c r="G474" i="1"/>
  <c r="C475" i="1"/>
  <c r="E475" i="1"/>
  <c r="G475" i="1"/>
  <c r="C476" i="1"/>
  <c r="E476" i="1"/>
  <c r="G476" i="1"/>
  <c r="C477" i="1"/>
  <c r="E477" i="1"/>
  <c r="G477" i="1"/>
  <c r="C478" i="1"/>
  <c r="E478" i="1"/>
  <c r="G478" i="1"/>
  <c r="C479" i="1"/>
  <c r="G479" i="1"/>
  <c r="C480" i="1"/>
  <c r="E480" i="1"/>
  <c r="G480" i="1"/>
  <c r="C481" i="1"/>
  <c r="E481" i="1"/>
  <c r="G481" i="1"/>
  <c r="C482" i="1"/>
  <c r="E482" i="1"/>
  <c r="G482" i="1"/>
  <c r="C483" i="1"/>
  <c r="E483" i="1"/>
  <c r="G483" i="1"/>
  <c r="C484" i="1"/>
  <c r="E484" i="1"/>
  <c r="G484" i="1"/>
  <c r="C485" i="1"/>
  <c r="E485" i="1"/>
  <c r="G485" i="1"/>
  <c r="C486" i="1"/>
  <c r="E486" i="1"/>
  <c r="G486" i="1"/>
  <c r="C487" i="1"/>
  <c r="E487" i="1"/>
  <c r="G487" i="1"/>
  <c r="C488" i="1"/>
  <c r="E488" i="1"/>
  <c r="G488" i="1"/>
  <c r="C489" i="1"/>
  <c r="E489" i="1"/>
  <c r="G489" i="1"/>
  <c r="C490" i="1"/>
  <c r="E490" i="1"/>
  <c r="G490" i="1"/>
  <c r="C491" i="1"/>
  <c r="E491" i="1"/>
  <c r="G491" i="1"/>
  <c r="C492" i="1"/>
  <c r="E492" i="1"/>
  <c r="G492" i="1"/>
  <c r="C493" i="1"/>
  <c r="E493" i="1"/>
  <c r="G493" i="1"/>
  <c r="C494" i="1"/>
  <c r="E494" i="1"/>
  <c r="G494" i="1"/>
  <c r="C495" i="1"/>
  <c r="E495" i="1"/>
  <c r="G495" i="1"/>
  <c r="C496" i="1"/>
  <c r="E496" i="1"/>
  <c r="G496" i="1"/>
  <c r="C497" i="1"/>
  <c r="E497" i="1"/>
  <c r="G497" i="1"/>
  <c r="C498" i="1"/>
  <c r="E498" i="1"/>
  <c r="G498" i="1"/>
  <c r="C499" i="1"/>
  <c r="E499" i="1"/>
  <c r="G499" i="1"/>
  <c r="C500" i="1"/>
  <c r="E500" i="1"/>
  <c r="G500" i="1"/>
  <c r="C501" i="1"/>
  <c r="E501" i="1"/>
  <c r="G501" i="1"/>
  <c r="C502" i="1"/>
  <c r="E502" i="1"/>
  <c r="G502" i="1"/>
  <c r="C503" i="1"/>
  <c r="E503" i="1"/>
  <c r="G503" i="1"/>
  <c r="C504" i="1"/>
  <c r="E504" i="1"/>
  <c r="G504" i="1"/>
  <c r="C505" i="1"/>
  <c r="E505" i="1"/>
  <c r="G505" i="1"/>
  <c r="C506" i="1"/>
  <c r="E506" i="1"/>
  <c r="G506" i="1"/>
  <c r="C507" i="1"/>
  <c r="E507" i="1"/>
  <c r="G507" i="1"/>
  <c r="C508" i="1"/>
  <c r="G508" i="1"/>
  <c r="C509" i="1"/>
  <c r="G509" i="1"/>
  <c r="C510" i="1"/>
  <c r="G510" i="1"/>
  <c r="C511" i="1"/>
  <c r="G511" i="1"/>
  <c r="C512" i="1"/>
  <c r="G512" i="1"/>
  <c r="C513" i="1"/>
  <c r="E513" i="1"/>
  <c r="G513" i="1"/>
  <c r="C514" i="1"/>
  <c r="E514" i="1"/>
  <c r="G514" i="1"/>
  <c r="C515" i="1"/>
  <c r="E515" i="1"/>
  <c r="G515" i="1"/>
  <c r="C516" i="1"/>
  <c r="E516" i="1"/>
  <c r="G516" i="1"/>
  <c r="C517" i="1"/>
  <c r="G517" i="1"/>
  <c r="C518" i="1"/>
  <c r="G518" i="1"/>
  <c r="C519" i="1"/>
  <c r="G519" i="1"/>
  <c r="C520" i="1"/>
  <c r="E520" i="1"/>
  <c r="G520" i="1"/>
  <c r="C521" i="1"/>
  <c r="E521" i="1"/>
  <c r="G521" i="1"/>
  <c r="C522" i="1"/>
  <c r="E522" i="1"/>
  <c r="G522" i="1"/>
  <c r="C523" i="1"/>
  <c r="E523" i="1"/>
  <c r="G523" i="1"/>
  <c r="C524" i="1"/>
  <c r="E524" i="1"/>
  <c r="G524" i="1"/>
  <c r="C525" i="1"/>
  <c r="E525" i="1"/>
  <c r="G525" i="1"/>
  <c r="C526" i="1"/>
  <c r="E526" i="1"/>
  <c r="G526" i="1"/>
  <c r="C527" i="1"/>
  <c r="E527" i="1"/>
  <c r="G527" i="1"/>
  <c r="C528" i="1"/>
  <c r="E528" i="1"/>
  <c r="G528" i="1"/>
  <c r="C529" i="1"/>
  <c r="E529" i="1"/>
  <c r="G529" i="1"/>
  <c r="C530" i="1"/>
  <c r="G530" i="1"/>
  <c r="C531" i="1"/>
  <c r="E531" i="1"/>
  <c r="G531" i="1"/>
  <c r="C532" i="1"/>
  <c r="E532" i="1"/>
  <c r="G532" i="1"/>
  <c r="C533" i="1"/>
  <c r="E533" i="1"/>
  <c r="G533" i="1"/>
  <c r="C534" i="1"/>
  <c r="E534" i="1"/>
  <c r="G534" i="1"/>
  <c r="C535" i="1"/>
  <c r="E535" i="1"/>
  <c r="G535" i="1"/>
  <c r="C536" i="1"/>
  <c r="G536" i="1"/>
  <c r="C537" i="1"/>
  <c r="E537" i="1"/>
  <c r="G537" i="1"/>
  <c r="C538" i="1"/>
  <c r="E538" i="1"/>
  <c r="G538" i="1"/>
  <c r="C539" i="1"/>
  <c r="E539" i="1"/>
  <c r="G539" i="1"/>
  <c r="C540" i="1"/>
  <c r="E540" i="1"/>
  <c r="G540" i="1"/>
  <c r="C541" i="1"/>
  <c r="E541" i="1"/>
  <c r="G541" i="1"/>
  <c r="C542" i="1"/>
  <c r="E542" i="1"/>
  <c r="G542" i="1"/>
  <c r="C543" i="1"/>
  <c r="E543" i="1"/>
  <c r="G543" i="1"/>
  <c r="C544" i="1"/>
  <c r="E544" i="1"/>
  <c r="G544" i="1"/>
  <c r="C545" i="1"/>
  <c r="E545" i="1"/>
  <c r="G545" i="1"/>
  <c r="C546" i="1"/>
  <c r="E546" i="1"/>
  <c r="G546" i="1"/>
  <c r="C547" i="1"/>
  <c r="E547" i="1"/>
  <c r="G547" i="1"/>
  <c r="C548" i="1"/>
  <c r="E548" i="1"/>
  <c r="G548" i="1"/>
  <c r="C549" i="1"/>
  <c r="E549" i="1"/>
  <c r="G549" i="1"/>
  <c r="C550" i="1"/>
  <c r="E550" i="1"/>
  <c r="G550" i="1"/>
  <c r="C551" i="1"/>
  <c r="E551" i="1"/>
  <c r="G551" i="1"/>
  <c r="C552" i="1"/>
  <c r="G552" i="1"/>
  <c r="C553" i="1"/>
  <c r="E553" i="1"/>
  <c r="G553" i="1"/>
  <c r="C554" i="1"/>
  <c r="E554" i="1"/>
  <c r="G554" i="1"/>
  <c r="C555" i="1"/>
  <c r="G555" i="1"/>
  <c r="C556" i="1"/>
  <c r="G556" i="1"/>
  <c r="C557" i="1"/>
  <c r="G557" i="1"/>
  <c r="C558" i="1"/>
  <c r="E558" i="1"/>
  <c r="G558" i="1"/>
  <c r="C559" i="1"/>
  <c r="G559" i="1"/>
  <c r="C560" i="1"/>
  <c r="E560" i="1"/>
  <c r="G560" i="1"/>
  <c r="C561" i="1"/>
  <c r="G561" i="1"/>
  <c r="C562" i="1"/>
  <c r="G562" i="1"/>
  <c r="C563" i="1"/>
  <c r="E563" i="1"/>
  <c r="G563" i="1"/>
  <c r="C564" i="1"/>
  <c r="G564" i="1"/>
  <c r="C565" i="1"/>
  <c r="E565" i="1"/>
  <c r="G565" i="1"/>
  <c r="C566" i="1"/>
  <c r="G566" i="1"/>
  <c r="C567" i="1"/>
  <c r="E567" i="1"/>
  <c r="G567" i="1"/>
  <c r="C568" i="1"/>
  <c r="G568" i="1"/>
  <c r="C569" i="1"/>
  <c r="G569" i="1"/>
  <c r="C570" i="1"/>
  <c r="E570" i="1"/>
  <c r="G570" i="1"/>
  <c r="C571" i="1"/>
  <c r="G571" i="1"/>
  <c r="C572" i="1"/>
  <c r="G572" i="1"/>
  <c r="C573" i="1"/>
  <c r="G573" i="1"/>
  <c r="C574" i="1"/>
  <c r="G574" i="1"/>
  <c r="C575" i="1"/>
  <c r="G575" i="1"/>
  <c r="C576" i="1"/>
  <c r="E576" i="1"/>
  <c r="G576" i="1"/>
  <c r="C577" i="1"/>
  <c r="G577" i="1"/>
  <c r="C578" i="1"/>
  <c r="G578" i="1"/>
  <c r="C579" i="1"/>
  <c r="G579" i="1"/>
  <c r="C580" i="1"/>
  <c r="G580" i="1"/>
  <c r="C581" i="1"/>
  <c r="G581" i="1"/>
  <c r="C582" i="1"/>
  <c r="G582" i="1"/>
  <c r="C583" i="1"/>
  <c r="E583" i="1"/>
  <c r="G583" i="1"/>
  <c r="C584" i="1"/>
  <c r="G584" i="1"/>
  <c r="C585" i="1"/>
  <c r="E585" i="1"/>
  <c r="G585" i="1"/>
  <c r="C586" i="1"/>
  <c r="G586" i="1"/>
  <c r="C587" i="1"/>
  <c r="E587" i="1"/>
  <c r="G587" i="1"/>
  <c r="C588" i="1"/>
  <c r="G588" i="1"/>
  <c r="C589" i="1"/>
  <c r="E589" i="1"/>
  <c r="G589" i="1"/>
  <c r="C590" i="1"/>
  <c r="E590" i="1"/>
  <c r="G590" i="1"/>
  <c r="C591" i="1"/>
  <c r="E591" i="1"/>
  <c r="G591" i="1"/>
  <c r="C592" i="1"/>
  <c r="E592" i="1"/>
  <c r="G592" i="1"/>
  <c r="C593" i="1"/>
  <c r="E593" i="1"/>
  <c r="G593" i="1"/>
  <c r="C594" i="1"/>
  <c r="G594" i="1"/>
  <c r="C595" i="1"/>
  <c r="G595" i="1"/>
  <c r="C596" i="1"/>
  <c r="E596" i="1"/>
  <c r="G596" i="1"/>
  <c r="C597" i="1"/>
  <c r="G597" i="1"/>
  <c r="C598" i="1"/>
  <c r="G598" i="1"/>
  <c r="C599" i="1"/>
  <c r="E599" i="1"/>
  <c r="G599" i="1"/>
  <c r="C600" i="1"/>
  <c r="G600" i="1"/>
  <c r="C601" i="1"/>
  <c r="G601" i="1"/>
  <c r="C602" i="1"/>
  <c r="E602" i="1"/>
  <c r="G602" i="1"/>
  <c r="C603" i="1"/>
  <c r="G603" i="1"/>
  <c r="C604" i="1"/>
  <c r="G604" i="1"/>
  <c r="C605" i="1"/>
  <c r="E605" i="1"/>
  <c r="G605" i="1"/>
  <c r="C606" i="1"/>
  <c r="E606" i="1"/>
  <c r="G606" i="1"/>
  <c r="C607" i="1"/>
  <c r="E607" i="1"/>
  <c r="G607" i="1"/>
  <c r="C608" i="1"/>
  <c r="E608" i="1"/>
  <c r="G608" i="1"/>
  <c r="C609" i="1"/>
  <c r="E609" i="1"/>
  <c r="G609" i="1"/>
  <c r="C610" i="1"/>
  <c r="E610" i="1"/>
  <c r="G610" i="1"/>
  <c r="C611" i="1"/>
  <c r="E611" i="1"/>
  <c r="G611" i="1"/>
  <c r="C612" i="1"/>
  <c r="E612" i="1"/>
  <c r="G612" i="1"/>
  <c r="C613" i="1"/>
  <c r="E613" i="1"/>
  <c r="G613" i="1"/>
  <c r="C614" i="1"/>
  <c r="E614" i="1"/>
  <c r="G614" i="1"/>
  <c r="C615" i="1"/>
  <c r="E615" i="1"/>
  <c r="G615" i="1"/>
  <c r="C616" i="1"/>
  <c r="E616" i="1"/>
  <c r="G616" i="1"/>
  <c r="C617" i="1"/>
  <c r="E617" i="1"/>
  <c r="G617" i="1"/>
  <c r="C618" i="1"/>
  <c r="G618" i="1"/>
  <c r="C619" i="1"/>
  <c r="E619" i="1"/>
  <c r="G619" i="1"/>
  <c r="C620" i="1"/>
  <c r="G620" i="1"/>
  <c r="C621" i="1"/>
  <c r="E621" i="1"/>
  <c r="G621" i="1"/>
  <c r="C622" i="1"/>
  <c r="E622" i="1"/>
  <c r="G622" i="1"/>
  <c r="C623" i="1"/>
  <c r="E623" i="1"/>
  <c r="G623" i="1"/>
  <c r="C624" i="1"/>
  <c r="E624" i="1"/>
  <c r="G624" i="1"/>
  <c r="C625" i="1"/>
  <c r="E625" i="1"/>
  <c r="G625" i="1"/>
  <c r="C626" i="1"/>
  <c r="E626" i="1"/>
  <c r="G626" i="1"/>
  <c r="C627" i="1"/>
  <c r="E627" i="1"/>
  <c r="G627" i="1"/>
  <c r="C628" i="1"/>
  <c r="E628" i="1"/>
  <c r="G628" i="1"/>
  <c r="C629" i="1"/>
  <c r="E629" i="1"/>
  <c r="G629" i="1"/>
  <c r="C630" i="1"/>
  <c r="E630" i="1"/>
  <c r="G630" i="1"/>
  <c r="C631" i="1"/>
  <c r="E631" i="1"/>
  <c r="G631" i="1"/>
  <c r="C632" i="1"/>
  <c r="G632" i="1"/>
  <c r="C633" i="1"/>
  <c r="G633" i="1"/>
  <c r="C634" i="1"/>
  <c r="E634" i="1"/>
  <c r="G634" i="1"/>
  <c r="C635" i="1"/>
  <c r="E635" i="1"/>
  <c r="G635" i="1"/>
  <c r="C636" i="1"/>
  <c r="E636" i="1"/>
  <c r="G636" i="1"/>
  <c r="C637" i="1"/>
  <c r="E637" i="1"/>
  <c r="G637" i="1"/>
  <c r="C638" i="1"/>
  <c r="E638" i="1"/>
  <c r="G638" i="1"/>
  <c r="C639" i="1"/>
  <c r="E639" i="1"/>
  <c r="G639" i="1"/>
  <c r="C640" i="1"/>
  <c r="E640" i="1"/>
  <c r="G640" i="1"/>
  <c r="C641" i="1"/>
  <c r="E641" i="1"/>
  <c r="G641" i="1"/>
  <c r="C642" i="1"/>
  <c r="E642" i="1"/>
  <c r="G642" i="1"/>
  <c r="C643" i="1"/>
  <c r="E643" i="1"/>
  <c r="G643" i="1"/>
  <c r="C644" i="1"/>
  <c r="G644" i="1"/>
  <c r="C645" i="1"/>
  <c r="E645" i="1"/>
  <c r="G645" i="1"/>
  <c r="C646" i="1"/>
  <c r="G646" i="1"/>
  <c r="C647" i="1"/>
  <c r="E647" i="1"/>
  <c r="G647" i="1"/>
  <c r="C648" i="1"/>
  <c r="E648" i="1"/>
  <c r="G648" i="1"/>
  <c r="C649" i="1"/>
  <c r="E649" i="1"/>
  <c r="G649" i="1"/>
  <c r="C650" i="1"/>
  <c r="E650" i="1"/>
  <c r="G650" i="1"/>
  <c r="C651" i="1"/>
  <c r="E651" i="1"/>
  <c r="G651" i="1"/>
  <c r="C652" i="1"/>
  <c r="E652" i="1"/>
  <c r="G652" i="1"/>
  <c r="C653" i="1"/>
  <c r="E653" i="1"/>
  <c r="G653" i="1"/>
  <c r="C654" i="1"/>
  <c r="G654" i="1"/>
  <c r="C655" i="1"/>
  <c r="G655" i="1"/>
  <c r="C656" i="1"/>
  <c r="E656" i="1"/>
  <c r="G656" i="1"/>
  <c r="C657" i="1"/>
  <c r="G657" i="1"/>
  <c r="C658" i="1"/>
  <c r="G658" i="1"/>
  <c r="C659" i="1"/>
  <c r="G659" i="1"/>
  <c r="C660" i="1"/>
  <c r="E660" i="1"/>
  <c r="G660" i="1"/>
  <c r="C661" i="1"/>
  <c r="G661" i="1"/>
  <c r="C662" i="1"/>
  <c r="G662" i="1"/>
  <c r="C663" i="1"/>
  <c r="G663" i="1"/>
  <c r="C664" i="1"/>
  <c r="G664" i="1"/>
  <c r="C665" i="1"/>
  <c r="G665" i="1"/>
  <c r="C666" i="1"/>
  <c r="E666" i="1"/>
  <c r="G666" i="1"/>
  <c r="C667" i="1"/>
  <c r="G667" i="1"/>
  <c r="C668" i="1"/>
  <c r="G668" i="1"/>
  <c r="C669" i="1"/>
  <c r="G669" i="1"/>
  <c r="C670" i="1"/>
  <c r="G670" i="1"/>
  <c r="C671" i="1"/>
  <c r="G671" i="1"/>
  <c r="C672" i="1"/>
  <c r="G672" i="1"/>
  <c r="C673" i="1"/>
  <c r="G673" i="1"/>
  <c r="C674" i="1"/>
  <c r="G674" i="1"/>
  <c r="C675" i="1"/>
  <c r="G675" i="1"/>
  <c r="C676" i="1"/>
  <c r="G676" i="1"/>
  <c r="C677" i="1"/>
  <c r="G677" i="1"/>
  <c r="C678" i="1"/>
  <c r="G678" i="1"/>
  <c r="C679" i="1"/>
  <c r="G679" i="1"/>
  <c r="C680" i="1"/>
  <c r="G680" i="1"/>
  <c r="C681" i="1"/>
  <c r="G681" i="1"/>
  <c r="C682" i="1"/>
  <c r="E682" i="1"/>
  <c r="G682" i="1"/>
  <c r="C683" i="1"/>
  <c r="G683" i="1"/>
  <c r="C684" i="1"/>
  <c r="G684" i="1"/>
  <c r="C685" i="1"/>
  <c r="E685" i="1"/>
  <c r="G685" i="1"/>
  <c r="C686" i="1"/>
  <c r="G686" i="1"/>
  <c r="C687" i="1"/>
  <c r="G687" i="1"/>
  <c r="C688" i="1"/>
  <c r="E688" i="1"/>
  <c r="G688"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alcChain>
</file>

<file path=xl/sharedStrings.xml><?xml version="1.0" encoding="utf-8"?>
<sst xmlns="http://schemas.openxmlformats.org/spreadsheetml/2006/main" count="4092" uniqueCount="778">
  <si>
    <t>Dispensa/Inexigibilidade de Licitação</t>
  </si>
  <si>
    <t>Preceito Legal</t>
  </si>
  <si>
    <t>Número do Processo</t>
  </si>
  <si>
    <t>Data do Empenho</t>
  </si>
  <si>
    <t>Elemento e SubElemento da Despesa</t>
  </si>
  <si>
    <t>Número do Empenho</t>
  </si>
  <si>
    <t>Valor do Empenho</t>
  </si>
  <si>
    <t>Contratado(a)</t>
  </si>
  <si>
    <t>CNPJ/CPF</t>
  </si>
  <si>
    <t>(a)</t>
  </si>
  <si>
    <t>(b)</t>
  </si>
  <si>
    <t>(c)</t>
  </si>
  <si>
    <t>(d)</t>
  </si>
  <si>
    <t>(e)</t>
  </si>
  <si>
    <t>(f)</t>
  </si>
  <si>
    <t>(g)</t>
  </si>
  <si>
    <t>(h)</t>
  </si>
  <si>
    <t>(i)</t>
  </si>
  <si>
    <t>(j)</t>
  </si>
  <si>
    <t>DISPENSA</t>
  </si>
  <si>
    <t>WR ENGENHARIA LTDA</t>
  </si>
  <si>
    <t>MJ IMOBILIÁRIA LTDA</t>
  </si>
  <si>
    <t>TFL SERVICOS DE ADMINISTRACAO DE BENS LTDA</t>
  </si>
  <si>
    <t>RESULT CONSTRUCOES EIRELI</t>
  </si>
  <si>
    <t>RAUHA PARTICIPACOES SA</t>
  </si>
  <si>
    <t>IMOBILIARIA LUIS GONZAGA TEIXEIRA LTDA</t>
  </si>
  <si>
    <t>J CIDRAO MASSILON EIRELI</t>
  </si>
  <si>
    <t>M&amp;M PARTICIPAÇÕES LTDA</t>
  </si>
  <si>
    <t>B &amp; Q ENERGIA LTDA</t>
  </si>
  <si>
    <t>OLIMPO EDIFICAÇÕES LTDA</t>
  </si>
  <si>
    <t xml:space="preserve"> LIMA EMPREENDIMENTOS IMOBILIARIOS LTDA</t>
  </si>
  <si>
    <t>339036 - 12 - 2083.10</t>
  </si>
  <si>
    <t>SERGIO DOS SANTOS SARAIVA</t>
  </si>
  <si>
    <t>GLICERIO GOMES DE MORAIS NETO</t>
  </si>
  <si>
    <t>JOSE LEITE DE ARAUJO</t>
  </si>
  <si>
    <t>FUNDACAO DE APOIO A SERVICOS TECNICOS, ENSINO E FOMENTO A PESQUISAS - FUNDACAO ASTEF</t>
  </si>
  <si>
    <t>ANTONIO CLODOALDO BATISTA DA CRUZ</t>
  </si>
  <si>
    <t>CLAUDIO ROTONDO JUNIOR</t>
  </si>
  <si>
    <t>MICHELL DO AMARAL ALMEIDA</t>
  </si>
  <si>
    <t>FRANCISO ALENCAR MACEDO</t>
  </si>
  <si>
    <t>MARIA NOEME HOLANDA ALVES</t>
  </si>
  <si>
    <t>FRANCISCA LUCIMAR PINHEIRO PARENTE</t>
  </si>
  <si>
    <t>JOAQUIM DO O DA COSTA NETO</t>
  </si>
  <si>
    <t>BLUE STAR CENTRO EMPREENDIMENTO IMOBILIÁRIOS SPE LTDA</t>
  </si>
  <si>
    <t>WALNEY SOEIRO OSTERNO</t>
  </si>
  <si>
    <t>ANA REGINA RIBEIRO RODRIGUES</t>
  </si>
  <si>
    <t>MARIA LIDUINA SILVA GALVÃO</t>
  </si>
  <si>
    <t>ANA CLEIDE DA SILVA SANTOS DAMASCENO</t>
  </si>
  <si>
    <t>COSTA CONTABILIDADE PROCESS E ASSESSORIA</t>
  </si>
  <si>
    <t>MARINA PINHEIRO DE OLIVEIRA</t>
  </si>
  <si>
    <t xml:space="preserve">EMPRESA BRAS DE CORREIOS E TELEGRAFOS </t>
  </si>
  <si>
    <t>EMPRESA DE TECNOLOGIA DA INFORMACAO DO CEARA ETICE</t>
  </si>
  <si>
    <t>ASSOCIACAO BRASILEIRA DE EDITORES CIENTIFICOS</t>
  </si>
  <si>
    <t>SINDICATO DAS EMPRESAS DE TRANSPORTES   DE PASSAGEIROS DO ESTADO DO CEARA</t>
  </si>
  <si>
    <t>LEME CONSULTORIA EM GESTAO DE RH LTDA</t>
  </si>
  <si>
    <t>A.R IMOBILIÁRIA LTDA</t>
  </si>
  <si>
    <t>IBM BRASIL-INDUSTRIA MAQUINAS E SERVICOS LIMITADA</t>
  </si>
  <si>
    <t>GPBR PARTICIPACOES LTDA.</t>
  </si>
  <si>
    <t>SEGUROS SURA S.A</t>
  </si>
  <si>
    <t>DIGITRO TECNOLOGIA S.A.</t>
  </si>
  <si>
    <t>ARKLOK - EQUIPAMENTOS DE INFORMÁTICA S.A,</t>
  </si>
  <si>
    <t>SERVICO AUTONOMO DE AGUA E ESGOTO DE IGUATU</t>
  </si>
  <si>
    <t>JOSE ALMEIDA DE OLIVEIRA</t>
  </si>
  <si>
    <t>2144832315</t>
  </si>
  <si>
    <t xml:space="preserve">SAAE DE ITAPAJE                         </t>
  </si>
  <si>
    <t xml:space="preserve">SAAE DE JAGUARIBE </t>
  </si>
  <si>
    <t xml:space="preserve"> GEMELO DO BRASIL S/A </t>
  </si>
  <si>
    <t>SAAEJ - SERVIÇO AUTONÔMO DE ÁGUA E ESGOTO DE JARDIM</t>
  </si>
  <si>
    <t>SAAE DE JUCAS</t>
  </si>
  <si>
    <t>SERVIÇO AUTÔNOMO DE ÁGUA E ESGOTO DE LIMOEIRO DO NORTE</t>
  </si>
  <si>
    <t xml:space="preserve">SAAE DE MORADA NOVA                     </t>
  </si>
  <si>
    <t>SERVIÇO AUTÔNOMO DE ÁGUA E ESGOTO DE SOBRAL</t>
  </si>
  <si>
    <t>GARTNER DO BRASIL SERV DE PESQUISAS LTDA</t>
  </si>
  <si>
    <t>SOFTPLAN PLANEJAMENTO E SISTEMAS LTDA</t>
  </si>
  <si>
    <t xml:space="preserve">SAAE DE SOLONOPOLE </t>
  </si>
  <si>
    <t>COMPANHIA DE AGUA E ESGOTO DO CEARA CAGECE</t>
  </si>
  <si>
    <t>PREFEITURA MUNICIPAL DE BREJO SANTO</t>
  </si>
  <si>
    <t xml:space="preserve">SAAE DE CANINDE </t>
  </si>
  <si>
    <t>AMBIENTAL CRATO CONCESSIONARIA DE SANEAMENTO SPE S.A</t>
  </si>
  <si>
    <t>WJGV CONSTRUÇÕES E SERVIÇOS IMOBILIARIOS LTDA</t>
  </si>
  <si>
    <t>SERVICO AUTONOMO DE AGUA E ESGOTO DE QUIXERAMOBIM</t>
  </si>
  <si>
    <t>SAAE SERV AUTONOMO AGUA ESGOTO GRANJA</t>
  </si>
  <si>
    <t xml:space="preserve">SAAE DE ICO                             </t>
  </si>
  <si>
    <t>GEOAMBIENTE SENSORIAMENTO REMOTO LTDA</t>
  </si>
  <si>
    <t>TECHBIZ FORENSE DIGITAL LTDA</t>
  </si>
  <si>
    <t xml:space="preserve">LEPIDUS TECNOLOGIA LTDA - ME </t>
  </si>
  <si>
    <t>IRANILDA BARROSO DE LIMA</t>
  </si>
  <si>
    <t>46950052391</t>
  </si>
  <si>
    <t>CÉLIA DE AGUIAR PRADO</t>
  </si>
  <si>
    <t>18904432391</t>
  </si>
  <si>
    <t>MACIEL CONSTRUCOES E TERRAPLANAGENS S.A</t>
  </si>
  <si>
    <t xml:space="preserve">TK ELEVADORES BRASIL LTDA </t>
  </si>
  <si>
    <t>J&amp;C PARTICIPAÇÕES LTDA</t>
  </si>
  <si>
    <t xml:space="preserve">ARY BRASIL ADMINISTRAÇÃO DE IMÓVEIS EIRELI </t>
  </si>
  <si>
    <t>CLINICA MEDICA MAIS SAUDE LTDA</t>
  </si>
  <si>
    <t>ARY FONTENELE BATISTA</t>
  </si>
  <si>
    <t>49090674349</t>
  </si>
  <si>
    <t>JULIO BERNARDINO DA SILVA NETO</t>
  </si>
  <si>
    <t>DIANA PAULA FONTENELE MAGALHÃES</t>
  </si>
  <si>
    <t>MARIA IZETE ROCHA DE MATOS</t>
  </si>
  <si>
    <t>INSTITUTO NEGOCIOS PUBLICOS DO BRASIL - ESTUDOS E PESQUISAS NA ADMNIISTRACAO PUBLICA - INP - LTDA</t>
  </si>
  <si>
    <t>Y T CONSTRUÇÕES EIRELI</t>
  </si>
  <si>
    <t>77748638349</t>
  </si>
  <si>
    <t>ML EMPREENDIMENTOS E CONSULTORIA EDUCACIONAL LTDA</t>
  </si>
  <si>
    <t>CAMARA BRASILEIRA DO LIVRO</t>
  </si>
  <si>
    <t>FUNDO DE REAPARELHAMENTO E MODERNIZAÇÃO DO MP DO CEARÁ</t>
  </si>
  <si>
    <t>ÁRTÉNA SABER ON-LINE LTDA</t>
  </si>
  <si>
    <t>DJ- HOTELARIA S.A</t>
  </si>
  <si>
    <t>META CURSOS E TREINAMENTOS LTDA</t>
  </si>
  <si>
    <t>DAYANE DO COSMO MARTINS</t>
  </si>
  <si>
    <t xml:space="preserve">SERH SERVIÇOS ESPECIALIZADOS EM REC HUMANOS SS LTDA </t>
  </si>
  <si>
    <t>INSTITUTO EUVALDO LODI NUCLEO DO CEARA</t>
  </si>
  <si>
    <t>ALEXANDRO MAURO DE ANDRADE</t>
  </si>
  <si>
    <t>PORTO SEGURO COMPANHIA DE SEGUROS GERAIS</t>
  </si>
  <si>
    <t>VERIFACT TECNOLOGIA LTDA</t>
  </si>
  <si>
    <t xml:space="preserve">SOBRALNET SERVICOS E TELECOMUNICACOES LTDA-ME </t>
  </si>
  <si>
    <t>GREGORI FIORINI PRODUÇÕES AUDIOVISUAIS E ARTÍSTICAS LTDA</t>
  </si>
  <si>
    <t>MAPDATA TECNOLOGIA, INFORMÁTICA E COMÉRCIO LTDA</t>
  </si>
  <si>
    <t>LILIA ALVES DA SILVA</t>
  </si>
  <si>
    <t xml:space="preserve">YO FITNESS LTDA </t>
  </si>
  <si>
    <t>PANORAMA COMÉRCIO DE PRODUTOS MÉDICOS E FARMACÊUTICOS LTDA</t>
  </si>
  <si>
    <t>PROHOSPITAL COMERCIO HOLANDA LTDA</t>
  </si>
  <si>
    <t>Lei 8.666/1993 Art.24, X e Contrato nº 074/2019.</t>
  </si>
  <si>
    <t>Lei 8.666/1993 Art.24 ,  X e Contrato nº 051/2019.</t>
  </si>
  <si>
    <t>Lei 8.666/1993 Art.24 , X e Contrato nº 043/2013.</t>
  </si>
  <si>
    <t>Lei 8.666/1993 Art.24 , E e Contrato n° 039/2013.</t>
  </si>
  <si>
    <t>Lei 8.666/1993 Art.24 , X e Contrato nº 022/2010.</t>
  </si>
  <si>
    <t>Lei 8.666/1993 Art.24 , X e Contrato nº 008/2017.</t>
  </si>
  <si>
    <t>20941439372</t>
  </si>
  <si>
    <t>Lei 8.666/1993 Art.24 , X e Contrato nº 025/2023.</t>
  </si>
  <si>
    <t>339039 - 14 - 2159.20</t>
  </si>
  <si>
    <t>29417319000107</t>
  </si>
  <si>
    <t>Lei 8.666/1993 Art.24 , X e Contrato nº 024/2023.</t>
  </si>
  <si>
    <t>48444032000102</t>
  </si>
  <si>
    <t>Lei 8.666/1993 Art.24 , X e Contrato nº 010/2023.</t>
  </si>
  <si>
    <t>32697604000125</t>
  </si>
  <si>
    <t>Lei 8.666/1993 Art.24 , X e CONTRATO Nº 008/2023.</t>
  </si>
  <si>
    <t>Lei 8.666/1993 Art.24 , X e Contrato nº 029/2022.</t>
  </si>
  <si>
    <t>11710431000168</t>
  </si>
  <si>
    <t>Lei 8.666/1993 Art.24 , X e Contrato nº 018/2022.</t>
  </si>
  <si>
    <t>44114554000195</t>
  </si>
  <si>
    <t>Lei 8.666/1993 Art.24 ,X e Contrato nº 017/2022.</t>
  </si>
  <si>
    <t>14763826000117</t>
  </si>
  <si>
    <t>Lei 8.666/1993 Art.24 , X e Contrato nº 016/2022.</t>
  </si>
  <si>
    <t>Lei 8.666/1993 Art.24 , X e Contrato nº 012/2022.</t>
  </si>
  <si>
    <t>Lei 8.666/1993 Art.24 , X  e Contrato nº 011/2022.</t>
  </si>
  <si>
    <t>7936046000166</t>
  </si>
  <si>
    <t>Lei 8.666/1993 Art.24 , X e Contrato nº 010/2022.</t>
  </si>
  <si>
    <t>53820857000114</t>
  </si>
  <si>
    <t>Lei 8.666/1993 Art.24 , X e Contrato nº 041/2021.</t>
  </si>
  <si>
    <t>Lei 8.666/1993 Art.24 , X e Contrato nº 038/2021.</t>
  </si>
  <si>
    <t>41456187000110</t>
  </si>
  <si>
    <t>Lei 8.666/1993 Art.24 , X e Contrato nº 033/2021.</t>
  </si>
  <si>
    <t>Lei 8.666/1993 Art.24 ,X e Contrato nº 048/2019.</t>
  </si>
  <si>
    <t>22705562000173</t>
  </si>
  <si>
    <t>Lei 8.666/1993 Art.24 , X e Contrato nº 002/2023.</t>
  </si>
  <si>
    <t>12255352000177</t>
  </si>
  <si>
    <t>Lei 8.666/1993 Art.24 , X e Contrato nº 016/2017.</t>
  </si>
  <si>
    <t>5569807000163</t>
  </si>
  <si>
    <t>INEXIGIBILIDADE</t>
  </si>
  <si>
    <t>Lei n° 14.133/2021, Art. 74 e Contrato nº 054/2023.</t>
  </si>
  <si>
    <t>10508750000122</t>
  </si>
  <si>
    <t>Lei 8.666/1993 Art.24 , X e Contrato nº 036/2022.</t>
  </si>
  <si>
    <t>91495059391</t>
  </si>
  <si>
    <t>Lei 8.666/1993 Art.24 , X e Contrato nº 033/2022.</t>
  </si>
  <si>
    <t>19556292349</t>
  </si>
  <si>
    <t>Lei 8.666/1993 Art.24 , X e Contrato nº  028/2022.</t>
  </si>
  <si>
    <t>7021062320</t>
  </si>
  <si>
    <t>Lei 8.666/93, art. 25, II, comb. c/ art. 13, II.</t>
  </si>
  <si>
    <t>339035 - 26 - 2347.01</t>
  </si>
  <si>
    <t>8918421000108</t>
  </si>
  <si>
    <t>Lei 8.666/1993 Art.24 , X e Contrato nº 024/2022.</t>
  </si>
  <si>
    <t>25876988391</t>
  </si>
  <si>
    <t>Lei 8.666/1993 Art.24 , X e Contrato nº 026/2017.</t>
  </si>
  <si>
    <t>34123367852</t>
  </si>
  <si>
    <t>Lei 8.666/1993 Art.24 ,X e Contrato nº 034/2021.</t>
  </si>
  <si>
    <t>35165286215</t>
  </si>
  <si>
    <t>Lei 8.666/1993 Art.24 , X e Contrato nº 026/2021.</t>
  </si>
  <si>
    <t>5817870304</t>
  </si>
  <si>
    <t>Lei 8.666/1993 Art.24 ,X e Contrato nº 025/2021.</t>
  </si>
  <si>
    <t>50937197300</t>
  </si>
  <si>
    <t>Lei 8.666/1993 Art.24 , X e Contrato nº 085/2019.</t>
  </si>
  <si>
    <t>43713017387</t>
  </si>
  <si>
    <t>Lei 8.666/1993 Art.24 , X e Contrato nº 084/2019.</t>
  </si>
  <si>
    <t>19678451824</t>
  </si>
  <si>
    <t>Lei 8.666/1993 Art.24 , X e Contrato nº 027/2021.</t>
  </si>
  <si>
    <t>22588967000179</t>
  </si>
  <si>
    <t>Lei 8.666/93, art. 24, X.</t>
  </si>
  <si>
    <t>Lei 8.666/1993 Art.24 e Contrato nº 045/2021.</t>
  </si>
  <si>
    <t>339039 - 14 - 2144.07</t>
  </si>
  <si>
    <t>Lei 8.666/1993 Art.24 e Contrato nº 027/2021.</t>
  </si>
  <si>
    <t>Lei 14.133/2021, art. 74, V.</t>
  </si>
  <si>
    <t>31014895391</t>
  </si>
  <si>
    <t>84738480391</t>
  </si>
  <si>
    <t>7136315387</t>
  </si>
  <si>
    <t>78214130387</t>
  </si>
  <si>
    <t>10507664000103</t>
  </si>
  <si>
    <t>1728735335</t>
  </si>
  <si>
    <t>FRANCISCO CLAUDIO ALVES DE LIMA</t>
  </si>
  <si>
    <t>21486417353</t>
  </si>
  <si>
    <t>Lei 14.133/2021, art. 75, II.</t>
  </si>
  <si>
    <t>EMPENHO REF. SERVIÇOS DE MANUTENÇÃO DE CÂMERA FILMADORA, POR MEIO DE DISPENSA DE LICITAÇÃO, CONF. ORDEM DE SERVIÇO 062/2024/SECOM.</t>
  </si>
  <si>
    <t>339039 - 14 - 2156.80</t>
  </si>
  <si>
    <t>R3 COMERCIO E MANUTENÇÃO DE EQUIPAMENTOS ELETRONICO LTDA - ME</t>
  </si>
  <si>
    <t>11342632000150</t>
  </si>
  <si>
    <t>Lei 8.666/93, art. 24, VIII.</t>
  </si>
  <si>
    <t>339039 - 14 - 2188.01</t>
  </si>
  <si>
    <t>34028316001002</t>
  </si>
  <si>
    <t>ANA CARLA MESQUITA MIRANDA MAGALHÃES</t>
  </si>
  <si>
    <t>1201953308</t>
  </si>
  <si>
    <t>Lei 8.666/93.</t>
  </si>
  <si>
    <t>339140 - 78 - 3093.16</t>
  </si>
  <si>
    <t>3773788000167</t>
  </si>
  <si>
    <t>Lei 8.666/93 Art.25 ,II e Contrato nº 047/2019.</t>
  </si>
  <si>
    <t>339039 - 14 - 2149.12</t>
  </si>
  <si>
    <t>Lei 8.666/93 Art.25, II e Contrato nº 047/2019.</t>
  </si>
  <si>
    <t xml:space="preserve"> Contrato nº  036/2021.</t>
  </si>
  <si>
    <t>29261229000161</t>
  </si>
  <si>
    <t>PINHEIRO LIMA PATRIMONIAL LTDA</t>
  </si>
  <si>
    <t>47359289000101</t>
  </si>
  <si>
    <t>Lei 14.133/2021, art. 74, I.</t>
  </si>
  <si>
    <t>339039 - 14 - 2151.14</t>
  </si>
  <si>
    <t>ENGAJA COMUNICACAO LTDA</t>
  </si>
  <si>
    <t>19093773000198</t>
  </si>
  <si>
    <t>Lei n° 14.133/2021, Art. 74 e Contrato nº 018/2024.</t>
  </si>
  <si>
    <t>339039 - 14 - 2214.72</t>
  </si>
  <si>
    <t>7341423000114</t>
  </si>
  <si>
    <t>INEXIGIBILIDADE , ART 74, INCISO I LEI 14.133/2021.</t>
  </si>
  <si>
    <t>339040 - 78 - 3081.08</t>
  </si>
  <si>
    <t>7955535000165</t>
  </si>
  <si>
    <t>Lei n° 14.133/2021, Art. 75, IX e Contrato nº 032/2023.</t>
  </si>
  <si>
    <t>339140 - 78 - 2502.06</t>
  </si>
  <si>
    <t>44231385000173</t>
  </si>
  <si>
    <t>339040 - 78 - 3083.10</t>
  </si>
  <si>
    <t>33372251006278</t>
  </si>
  <si>
    <t>339192 - 78 - 2505.40</t>
  </si>
  <si>
    <t>Lei n° 14.133/2021, art. 75.</t>
  </si>
  <si>
    <t>EMPENHO REF. AQUISIÇÃO DE 100 (CEM) CARRINHOS DE COMPRAS, CONF. DISPENSA ELETRÔNICA 046/2024 E ORDEM DE COMPRA 004/2025/SEAD.</t>
  </si>
  <si>
    <t>449052 - 2 - 1968.99</t>
  </si>
  <si>
    <t>VL COMERCIO DE MATERIAIS ELETRICOS UNIPESSOAL LTDA</t>
  </si>
  <si>
    <t>47170930000157</t>
  </si>
  <si>
    <t>Proc. Inexigibilidade: 09.2023.00038559-0/SAJ-MPCE, Lei 14.133/2021, art. 74, I, conf. consta no Contrato 025/2024.</t>
  </si>
  <si>
    <t>15664649000184</t>
  </si>
  <si>
    <t>Lei 14.133/2021, art. 75, IX.</t>
  </si>
  <si>
    <t>Lei 8.666/1993 Art.24 e Contrato 32/2021.</t>
  </si>
  <si>
    <t>339039 - 14 - 2226.86</t>
  </si>
  <si>
    <t>33065699000127</t>
  </si>
  <si>
    <t>Lei 8.666/93 Art.25 - Caput  e Contrato nº  002/2021.</t>
  </si>
  <si>
    <t>339040 - 78 - 3080.07</t>
  </si>
  <si>
    <t>83472803000176</t>
  </si>
  <si>
    <t>Lei 14.133/2021, art. 75, VIII.</t>
  </si>
  <si>
    <t>339040 - 78 - 3085.14</t>
  </si>
  <si>
    <t>10489713000114</t>
  </si>
  <si>
    <t>Lei 8.666/93, art. 25, caput.</t>
  </si>
  <si>
    <t>EMPENHO REF. TAXA DE ÁGUA, REF. JAN, FEV E MAR/2025, POR ESTIMATIVA.</t>
  </si>
  <si>
    <t>339039 - 14 - 2184.44</t>
  </si>
  <si>
    <t>7508138000145</t>
  </si>
  <si>
    <t>Lei 8.666/1993 Art.24 ,X e Contrato nº_x000D_
043/2013.</t>
  </si>
  <si>
    <t xml:space="preserve">Lei 8.666/93 Art.25 - Caput </t>
  </si>
  <si>
    <t>TAXA DE ÁGUA SAAE DE ITAPAJÉ, REF. AOS MESES DE JANEIRO A MARÇO DE 2025.</t>
  </si>
  <si>
    <t>7544786000157</t>
  </si>
  <si>
    <t>TAXA DE ÁGUA SAAE DE JAGUARIBE, REF. AOS MESES DE JANEIRO A MARÇO DE 2025.</t>
  </si>
  <si>
    <t>5722202000160</t>
  </si>
  <si>
    <t>Lei 8.666/93 Art.25 - Caput  e Contrato nº 009/2022.</t>
  </si>
  <si>
    <t>339040 - 78 - 2498.13</t>
  </si>
  <si>
    <t>3888247000184</t>
  </si>
  <si>
    <t>TAXA DE ÁGUA- SAAE JARDIM, REF. AOS MESES DE JANEIRO A MARÇO DE 2025.</t>
  </si>
  <si>
    <t>29038683000158</t>
  </si>
  <si>
    <t>TAXA DE ÁGUA - SAAE DE JUCÁS, REF. JANEIRO A MARÇO DE 2025.</t>
  </si>
  <si>
    <t>7434954000151</t>
  </si>
  <si>
    <t>TAXA DE ÁGUA - SAAE DE LIMOEIRO DO NORTE, REF. AOS MESES DE JANEIRO A MARÇO DE 2025.</t>
  </si>
  <si>
    <t>7625932000179</t>
  </si>
  <si>
    <t>TAXA DE ÁGUA - SAAE DE MORADA NOVA, REF. AOS MESES DE JANEIRO A MARÇO DE 2025.</t>
  </si>
  <si>
    <t>7676836000150</t>
  </si>
  <si>
    <t>TAXA DE ÁGUA- SAAE DE SOBRAL, REF. AOS MESES DE JANEIRO A MARÇO DE 2025.</t>
  </si>
  <si>
    <t>7817778000137</t>
  </si>
  <si>
    <t>Lei 14.133/2021, art. 74, III, “c”, e Lei 9.784/99.</t>
  </si>
  <si>
    <t>2593165000140</t>
  </si>
  <si>
    <t xml:space="preserve">Lei 14.133/2021, art. 74, caput e inc. I._x000D_
</t>
  </si>
  <si>
    <t>339040 - 78 - 2502.06</t>
  </si>
  <si>
    <t>82845322000104</t>
  </si>
  <si>
    <t>TAXA DE ÁGUA - SAAE DE SOLONOPOLE, REF. AOS MESES DE JANEIRO A MARÇO DE 2025.</t>
  </si>
  <si>
    <t>7852676000152</t>
  </si>
  <si>
    <t>339040 - 78 - 3093.16</t>
  </si>
  <si>
    <t>339040 - 78 - 3078.04</t>
  </si>
  <si>
    <t>TAXAS DE ÁGUA E ESGOTO, RE. AO MÊS DE JANEIRO DE 2025.</t>
  </si>
  <si>
    <t>7040108000157</t>
  </si>
  <si>
    <t>EMPENHO REF. TAXA DE ÁGUA, REF. JAN/2025, POR ESTIMATIVA.</t>
  </si>
  <si>
    <t>7620701000172</t>
  </si>
  <si>
    <t>7113566000179</t>
  </si>
  <si>
    <t>Lei n° 14.133/2021, Art. 75, II  e Contrato nº 095/2024.</t>
  </si>
  <si>
    <t>339040 - 78 - 2495.12</t>
  </si>
  <si>
    <t>TELEFONICA BRASIL S.A.</t>
  </si>
  <si>
    <t>2558157000162</t>
  </si>
  <si>
    <t xml:space="preserve">EMPENHO REF. TAXA DE ÁGUA, REF. JAN/2025, POR ESTIMATIVA. </t>
  </si>
  <si>
    <t>45898856000164</t>
  </si>
  <si>
    <t>EMPENHO REF. TAXA DE ÁGUA, REF. JAN-MAR/2025, POR ESTIMATIVA.</t>
  </si>
  <si>
    <t>7476369000114</t>
  </si>
  <si>
    <t xml:space="preserve">EMPENHO REF. TAXA DE ÁGUA, REF. JAN, FEV E MAR/2025, POR ESTIMATIVA. </t>
  </si>
  <si>
    <t>5537196000171</t>
  </si>
  <si>
    <t>EMPENHO REF. TAXA DE ÁGUA, REF. ??? /2025, POR ESTIMATIVA.</t>
  </si>
  <si>
    <t>7742778000115</t>
  </si>
  <si>
    <t>Lei 8.666/93, art. 24, XVI.</t>
  </si>
  <si>
    <t>Lei 8.666/93 Art.25 - Caput e Contrato nº 047/2029.</t>
  </si>
  <si>
    <t>Lei n° 14.133/2021, Art. 74, II, alínea "c" e "f" , conf. Contrato nº 096/2024.</t>
  </si>
  <si>
    <t xml:space="preserve">PORTFOLIO CONSULTORIA EMPRESARIAL LTDA </t>
  </si>
  <si>
    <t>10889470000101</t>
  </si>
  <si>
    <t>Lei n° 14.133/2021, Art. 74 e Contrato nº 042/2024.</t>
  </si>
  <si>
    <t>Lei n° 14.133/2021, Art. 74, II e Contrato nº 084/2024.</t>
  </si>
  <si>
    <t>339039 - 14 - 2183.43</t>
  </si>
  <si>
    <t>COMPANHIA ENERGETICA DO CEARA - ENEL</t>
  </si>
  <si>
    <t>7047251000170</t>
  </si>
  <si>
    <t>Lei n° 14.133/2021, Art. 74 e Contrato nº 099/2024.</t>
  </si>
  <si>
    <t>Inexigibilidade (art. 74, II da Lei Federal n° 14.133/2021) e Contrato nº 098/2024.</t>
  </si>
  <si>
    <t>Lei n° 14.133/2021, Art. 74, III, "f".</t>
  </si>
  <si>
    <t>INSTITUTO DE ESTUDOS PESQUISAS E PROJETOS DA UECE IEPRO</t>
  </si>
  <si>
    <t>977419000106</t>
  </si>
  <si>
    <t>Lei 14.133/2021, art. 74, III, “f”.</t>
  </si>
  <si>
    <t>EMPENHO REF. CURSO ANÁLISE DE DADOS FINANCEIROS - CFIN, POR INEXIGIBILIDADE DE LICITAÇÃO, CONF. ORDEM DE SERVIÇO S/N/2025/ESMP.</t>
  </si>
  <si>
    <t>DATAVIRTUS TREINAMENTOS LTDA</t>
  </si>
  <si>
    <t>49543975000155</t>
  </si>
  <si>
    <t>Lei n° 14.133/2021, Art. 75, II.</t>
  </si>
  <si>
    <t>33757000181</t>
  </si>
  <si>
    <t>339039 - 14 - 2216.74</t>
  </si>
  <si>
    <t>Lei 8.666/1993 Art.24 e Contrato nº 014/2017.</t>
  </si>
  <si>
    <t>Lei 8.666/1993 Art.24 e Contrato nº 016/2017.</t>
  </si>
  <si>
    <t>Lei 8.666/1993 Art.24 e Contrato nº 023/2022.</t>
  </si>
  <si>
    <t>Lei 8.666/1993 Art.24, X e Contrato nº 036/2024.</t>
  </si>
  <si>
    <t>Lei n° 14.133/2021, Art. 74  e Contrato nº 003/2025.</t>
  </si>
  <si>
    <t>5757597000218</t>
  </si>
  <si>
    <t>Lei 8.666/1993 Art.24 , X.</t>
  </si>
  <si>
    <t>Lei 8.666/93, art. 24, II.</t>
  </si>
  <si>
    <t>339039 - 14 - 2173.35</t>
  </si>
  <si>
    <t>12967719000185</t>
  </si>
  <si>
    <t>Lei n° 14.133/2021, Art. 74 e Contrato nº 003/2024.</t>
  </si>
  <si>
    <t>33372251006600</t>
  </si>
  <si>
    <t xml:space="preserve"> SERVICO FEDERAL DE PROCESSAMENTO DE DADOS (SERPRO)</t>
  </si>
  <si>
    <t>33683111000107</t>
  </si>
  <si>
    <t>Lei 8.666/1993 Art.24  e Contrato nº 058/2023.</t>
  </si>
  <si>
    <t>Proc. Inexigibilidade: 09.2023.00038559-0/SAJMPCE, Lei 14.133/2021, art. 74, I, conf. consta no_x000D_
Contrato 025/2024.</t>
  </si>
  <si>
    <t>Lei n° 14.133/2021. TERMO DE ADJUDICAÇÃO/HOMOLOGAÇÃO_x000D_
DISPENSA ELETRÔNICA Nº 005/2025_x000D_
PGA Nº 09.2024.00027048-1</t>
  </si>
  <si>
    <t>EMPENHO REF. AQUISIÇÃO DE 150 (CENTO E CINQUENTA) PEDESTAIS ORGANIZADORES DE FILA, CONF. CONTRATO 005/2025, DISPENSA ELETRÔNICA 005/2025E ORDEM DE COMPRA 019/2025/SEAD.</t>
  </si>
  <si>
    <t>449052 - 2 - 1964.66</t>
  </si>
  <si>
    <t xml:space="preserve">PUBLIC SYSTEM INDUSTRIA E COMERCIO DE ORIENTADORES DE PUBLICO LTDA. </t>
  </si>
  <si>
    <t>10322423000181</t>
  </si>
  <si>
    <t>Lei 8.666/1993 Art.24 ,  e Contrato n°_x000D_
039/2013.</t>
  </si>
  <si>
    <t>Lei n° 14.133/2021, Art. 75, IX e Contrato nº 103/2024.</t>
  </si>
  <si>
    <t>CENTRO BRASILEIRO DE PESQUISA EM AVALIAÇÃO E SELEÇÃO E DE PROMOÇÃO DE EVENTOS - CEBRASPE</t>
  </si>
  <si>
    <t>18284407000153</t>
  </si>
  <si>
    <t>Lei 8.666/1993 Art.24 , X e Contrato nº_x000D_
043/2013.</t>
  </si>
  <si>
    <t>Lei 14.133/2021, art. 74, caput e_x000D_
inc. I.</t>
  </si>
  <si>
    <t>Lei 8.666/93 Art.25, I e Contrato nº 07/2023.</t>
  </si>
  <si>
    <t>339039 - 14 - 2207.65</t>
  </si>
  <si>
    <t>MINHA BIBLIOTECA LTDA</t>
  </si>
  <si>
    <t>13183749000163</t>
  </si>
  <si>
    <t>Lei 8.666/1993 Art.24 e Contrato nº 054/2022.</t>
  </si>
  <si>
    <t>339039 - 14 - 2235.99</t>
  </si>
  <si>
    <t>CREDILINK INFORMAÇÕES DE CRÉDITO LTDA</t>
  </si>
  <si>
    <t>2581711000122</t>
  </si>
  <si>
    <t>AOVS SISTEMAS DE INFORMATICA LTDA</t>
  </si>
  <si>
    <t>5555382000133</t>
  </si>
  <si>
    <t>339036 - 12 - 2126.99</t>
  </si>
  <si>
    <t>DISPENSA ELETRÔNICA 003/2025.</t>
  </si>
  <si>
    <t>EMPENHO REF. COMPRA DE 500 (QUINHENTAS) FONTES DE ALIMENTAÇÃO ELETRÔNICAS 5V, CONF. DISPENSA ELETRÔNICA 003/2025 E ORDEM DE COMPRA 001/2025/GEAEM.</t>
  </si>
  <si>
    <t>339030 - 1 - 1888.29</t>
  </si>
  <si>
    <t>58.084.042 THIAGO DE SOUSA SILVA</t>
  </si>
  <si>
    <t>58084042000138</t>
  </si>
  <si>
    <t>339092 - 12 - 2098.36</t>
  </si>
  <si>
    <t>Lei 8.666/1993 Art.24 e Contrato nº 032/2023.</t>
  </si>
  <si>
    <t>Lei 8.666/1993 Art.24 e Contrato nº 017/2022.</t>
  </si>
  <si>
    <t>Lei 8.666/1993 Art.24 e Contrato nº 011/2022.</t>
  </si>
  <si>
    <t>Lei 8.666/1993 Art.24 e Contrato nº 038/2021.</t>
  </si>
  <si>
    <t>Lei n° 14.133/2021, Art. 75 e Contrato nº 017/2024.</t>
  </si>
  <si>
    <t>Lei n° 14.133/2021, Art. 75 e Contrato nº 005/2024.</t>
  </si>
  <si>
    <t>Lei n° 14.133/2021, Art. 75 e Contrato nº 001/2024.</t>
  </si>
  <si>
    <t>Lei n° 14.133/2021, Art. 75 e Contrato nº 002/2025.</t>
  </si>
  <si>
    <t>Lei n° 14.133/2021, Art. 75 e Contrato nº 039/2024.</t>
  </si>
  <si>
    <t>Lei 8.666/93 Art.25 - Caput  e Contrato nº 059/2023.</t>
  </si>
  <si>
    <t>449040 - 78 - 3081.08</t>
  </si>
  <si>
    <t>Lei 8.666/1993 Art.24 e Contrato nº 06/2021</t>
  </si>
  <si>
    <t>Lei 8.666/93, art. 24, inc. X.</t>
  </si>
  <si>
    <t>Lei nº 11.788/2008. Lei 8.666/93, art. 24, inc. II.</t>
  </si>
  <si>
    <t>EMPENHO REF. 01 (UMA) INSCRIÇÃO NO 20º CONGRESSO BRASILEIRO DE PREGOEIROS, COM REALIZAÇÃO PRESENCIAL, EM FOZ DO IGUAÇU-PR, PROGRAMADA PARA OS DIAS DE 17 A 20/03/2025, POR INEXIGIBILIDADE DE LICITAÇÃO, CONF. ORDEM DE SERVIÇO 001/2025/PGJ.PARTICIPANTE:"&amp;"WALKER PINTO DE SOUSA, NÚCLEO DE LICITAÇÕES.</t>
  </si>
  <si>
    <t>10498974000281</t>
  </si>
  <si>
    <t>Lei 8.666/1993 Art.24  e Contrato nº 025/2023</t>
  </si>
  <si>
    <t>Lei 8.666/1993 Art.24  e Contrato nº 011/2023.</t>
  </si>
  <si>
    <t>Lei 8.666/1993 Art.24 e Contrato nº 024/2023.</t>
  </si>
  <si>
    <t>Lei 8.666/1993 Art.24 e Contrato nº 010/2023.</t>
  </si>
  <si>
    <t>Lei 8.666/1993 Art.24 e Contrato nº 008/2023.</t>
  </si>
  <si>
    <t>Lei n° 14.133/2021, Art. 74 e Contrato nº 044/2024.</t>
  </si>
  <si>
    <t>Lei 8.666/1993 Art.24 e Contrato nº  027/2021.</t>
  </si>
  <si>
    <t>Lei n° 14.133/2021.</t>
  </si>
  <si>
    <t>339039 - 14 - 2143.06</t>
  </si>
  <si>
    <t>Lei 8.666/1993 Art.24  e Contrato nº 022/2010.</t>
  </si>
  <si>
    <t>EMPENHO REF. LOCAÇÃO DE MÁQUINAS E EQUIPAMENTOS, POR MEIO DE DISPENSA DE LICITAÇÃO, CONF. ORDEM DE SERVIÇO 008/2025/SEAD.</t>
  </si>
  <si>
    <t>339039 - 14 - 2163.24</t>
  </si>
  <si>
    <t>FORTMOVE LOCAÇÃO DE EQUIPAMENTOS LTDA</t>
  </si>
  <si>
    <t>18813407000101</t>
  </si>
  <si>
    <t>Lei 8.666/1993 Art.24  e Contrato nº 008/2017.</t>
  </si>
  <si>
    <t>Lei 8.666/93 Art.25 - Caput e Contrato nº 036/2023.</t>
  </si>
  <si>
    <t xml:space="preserve">Lei 8.666/93, art. 24, X._x000D_
</t>
  </si>
  <si>
    <t>Lei n° 14.133/2021, Art. 74 e Contrato nº 041/2023.</t>
  </si>
  <si>
    <t>Lei n° 14.133/2021, Art. 74 e Contrato nº 033/2023.</t>
  </si>
  <si>
    <t>Lei 8.666/1993 Art.24 e Contrato nº 038/2022.</t>
  </si>
  <si>
    <t>Lei n° 14.133/2021, Art. 74 e Contrato nº 093/2024.</t>
  </si>
  <si>
    <t xml:space="preserve">Lei 8.666/1993 Art.24 e Contrato nº 036/2022._x000D_
</t>
  </si>
  <si>
    <t>Lei 8.666/1993 Art.24 e Contrato nº 033/2022.</t>
  </si>
  <si>
    <t>Lei 8.666/1993 Art.24 e Contrato nº 024/2022.</t>
  </si>
  <si>
    <t>Lei 8.666/1993 Art.24 e Contrato nº 028/2022.</t>
  </si>
  <si>
    <t>Lei n° 14.133/2021, Art. 74 e Contrato nº 091/2024.</t>
  </si>
  <si>
    <t>Lei n° 14.133/2021, Art. 74  e Contrato nº 044/2023.</t>
  </si>
  <si>
    <t>Lei 14.133/2021. PE 032/2023, conf. ARP 069/2023.</t>
  </si>
  <si>
    <t>EMPENHO REF. SERVIÇOS DE CERTIFICAÇÃO DIGITAL, CONF. PE 032/2023, ARP 069/2023 E ORDEM DE SERVIÇO 003/2025/SETIN.</t>
  </si>
  <si>
    <t>339030 - 1 - 1879.17</t>
  </si>
  <si>
    <t>SOLUTI SOLUÇOES EM NEGOCIOS INTELIGENTES S/A</t>
  </si>
  <si>
    <t>9461647000195</t>
  </si>
  <si>
    <t>Lei 8.666/1993 Art.24  e Contrato nº 006/2020.</t>
  </si>
  <si>
    <t>Lei 8.666/1993 Art.24 e Contrato nº 29/2022.</t>
  </si>
  <si>
    <t>Lei 8.666/1993 Art.24  e Contrato nº 023/2020.</t>
  </si>
  <si>
    <t>EMPENHO REF. SERVIÇOS DE ÁGUA, REF. ABR, MAI E JUN/2025, POR ESTIMATIVA.</t>
  </si>
  <si>
    <t>EMPENHO REF. SERVIÇO DE ÁGUA, REF. ABR, MAI E JUN/2025, POR ESTIMATIVA.</t>
  </si>
  <si>
    <t xml:space="preserve">EMPENHO REF. SERVIÇO DE ÁGUA, REF. ABR, MAI E JUN/2025, POR ESTIMATIVA. </t>
  </si>
  <si>
    <t>EMPENHO REF. SERVIÇOS DE ÁGUA E ESGOTO, REF. ABR, MAI E JUN/2025, POR ESTIMATIVA.</t>
  </si>
  <si>
    <t>SERVIÇOS DE FORNECIMENTO DE ÁGUA (SAAE DE QUIXERAMOBIM),REF. AOS MESES DE ABRIL, MAIO E JUNHO DE 2025.</t>
  </si>
  <si>
    <t>SERVIÇOS DE FORNECIMENTO DE ÁGUA (SAAE DE MORADA NOVA), REF. AOS MESES DE ABRIL, MAIO E JUNHO DE 2025, POR ESTIMATIVA.</t>
  </si>
  <si>
    <t>SAAE - SERVIÇO AUTÔNOMO DE ÁGUA E ESGOTO DE SOBRAL, REF. ABRIL A JUNHO DE 2025.</t>
  </si>
  <si>
    <t>SAAE SERVIÇO AUTONOMO DE AGUA E ESGOTO SOLONOPOLE, REF AOS MESES DE ABRIL, MAIO E JUNHO DE 2025, POR ESTIMATIVA.</t>
  </si>
  <si>
    <t>SAAE DE GRANJA - SERVIÇOS DE FORNECIMENTO ÁGUA E ESGOTO, REF. AOS MESES DE ABRIL À JUNHO DE 2025.</t>
  </si>
  <si>
    <t>SERVIÇO AUTÔNOMO DE ÁGUA E ESGOTO SAAE DE ICÓ, REF. AOS MESES DE ABRIL A JUNHO DE 2025.</t>
  </si>
  <si>
    <t>SAAE DE IGUATU/CE- SERVIÇOS DE ÁGUA E ESGOTO, REFG AOS MESES DE ABRIL, MAIO E JUNHO DE 2025.</t>
  </si>
  <si>
    <t>SAAE ITAPAJÉ- SERVIÇOS ABASTECIMENTO DE ÁGUA E ESGOTO, REF. AOS MESES ABRIL A JUNHO DE 2025.</t>
  </si>
  <si>
    <t>SAAE DE JAGUARIBE- SERVIÇOS DE ÁGUA E ESGOTO, REF AOS MESES DE ABRIL A JUNHO DE 2025.</t>
  </si>
  <si>
    <t>SAAE DE JARDIM- SERVIÇOS DE ÁGUA E ESGOTO, REF. AOS MESES DE ABRIL A MAIO DE 2025.</t>
  </si>
  <si>
    <t>SAAE DE JUCÁS- SERVIÇOS DE ÁGUA E ESGOTO, REF. AOS MESES DE ABRIL A JUNHO DE 2025.</t>
  </si>
  <si>
    <t>SERVIÇO AUTÔNOMO DE ÁGUA E ESGOTO SAAE DE LIMOEIRO DO NORTE, REF AOS MESES DE ABRIL A JUNHO DE 2025.</t>
  </si>
  <si>
    <t>Lei 14.133/2021, art. 74, II.</t>
  </si>
  <si>
    <t>SAAE DE JARDIM- SERVIÇOS DE ÁGUA E ESGOTO, REF. AOS MESES DE ABRIL A JUNHO DE 2025.</t>
  </si>
  <si>
    <t>Lei n° 14.133/2021, Art. 74 .</t>
  </si>
  <si>
    <t>INSCRIÇÃO DE 01 (UM) SERVIDOR NO CONGRESSO BRASILEIRO DE TREINAMENTO E DESENVOLVIMENTO  CBTD, A SER REALIZADO NOS DIAS 25, 26 E 27 DE JUNHO DE 2025. SERVIDORA: JULIANA MARCELINO BEVILÁQUA  GERENTE DE DESENVOLVIMENTO DE PESSOAS, CONF. ORDEM DE SERVIÇO"&amp;" N.º 05/2025/SEGEP. (INEXIBILIDADE).</t>
  </si>
  <si>
    <t>ABTD ASSOCIACAO BRAS DE TREIN E DESENV</t>
  </si>
  <si>
    <t>43730787000150</t>
  </si>
  <si>
    <t>EMPENHO REF. PARTICIPAÇÃO DE 02 (DOIS) SERVIDORES NO CURSO DE PLANEJAMENTO E GESTÃO URBANA APLICADA, COM REALIZAÇÃO PROGRAMADA PARA O PERÍODO DE 29/04/2025 A 18/06/2025, COM AULAS SÍNCRONAS, NO FORMATO ON-LINE, COM CARGA HORÁRIA DE 24 HORAS/AULA, POR"&amp;" MEIO DE INEXIGIBILIDADE DE LICITAÇÃO, REF. ABR, MAI E JUN/2025, POR ESTIMATIVA.PARTICIPANTES:FABIANO SANTIAGO MENDES  ÁREA ARQUITETURAHENRIQUE ALVES DA SILVA  ÁREA ARQUITETURA</t>
  </si>
  <si>
    <t>INSTITUTO BRAS DE DIREITO URBANISTICO</t>
  </si>
  <si>
    <t>7437563000190</t>
  </si>
  <si>
    <t>EMPENHO REF. SERVIÇOS DE TRANSPORTE E REMOÇÃO DE EQUIPAMENTOS, CONF. AVISO DE DISPENSA ELETRÔNICA 011/2025.</t>
  </si>
  <si>
    <t>Lei n° 14.133/2021, Art. 75 e ORDEM DE COMPRAS nº 08/2025.</t>
  </si>
  <si>
    <t>SOLICITAÇÃO DE COMPRA DE CARREGADORES DE CELULARES, CONF. DISPENSA DE LICITAÇÃO Nº 08/2025 E ORDEM DE COMPRA Nº 030/2025.</t>
  </si>
  <si>
    <t>MAX QUALITY COMERCIO COMERCIO LTDA</t>
  </si>
  <si>
    <t>42810782000174</t>
  </si>
  <si>
    <t>SAAE DE IGUATU/CE- SERVIÇOS DE ÁGUA E ESGOTO, REF. AOS MESES DE ABRIL, MAIO E JUNHO DE 2025.</t>
  </si>
  <si>
    <t xml:space="preserve">ESSOR SEGUROS S.A </t>
  </si>
  <si>
    <t>14525684000150</t>
  </si>
  <si>
    <t>Lei n° 14.133/2021, Art. 75 e Contrato nº 009/2025.</t>
  </si>
  <si>
    <t>SERVIÇO AUTÔNOMO DE ÁGUA E ESGOTO SAAE DE ICÓ, REF. AOS MESES DE ABRIL A JUNHO DE 2025, POR ESTIMATIVA.</t>
  </si>
  <si>
    <t>SAAE DE JUCÁS- SERVIÇOS DE ÁGUA E ESGOTO, REF. AOS MESES DE ABRIL A JUNHO DE 2025, POR ESTIMATIVA.</t>
  </si>
  <si>
    <t>SAAE DE JAGUARIBE- SERVIÇOS DE ÁGUA E ESGOTO, REF AOS MESES DE ABRIL A JUNHO DE 2025, POR ESTIMATIVA.</t>
  </si>
  <si>
    <t>Lei n° 14.133/2021, Art. 74, III, alínea "f" e Contrato nº 011/2025.</t>
  </si>
  <si>
    <t>Lei 8.666/1993 Art.24  e Contrato nº 018/2022.</t>
  </si>
  <si>
    <t>EMPENHO REF. INSCRIÇÃO, PARA 01 (UM) SERVIDOR DO MPCE, NO CURSO COMO ELABORAR E JULGAR A PLANILHA DE PREÇOS DE ACORDO COM A IN Nº 05/2017, PRESENCIAL, A REALIZAR-SE NO RIO DE JANEIRO-RJ, DE 26 A 28/05/2025, POR INEXIGIBILIDADE DE LICITAÇÃO, CONF. ORD"&amp;"EM DE SERVIÇO 001/2025/SEAC.</t>
  </si>
  <si>
    <t>ZENITE INFORMAÇÃO E CONSULTORIA S/A</t>
  </si>
  <si>
    <t>86781069000115</t>
  </si>
  <si>
    <t>EMPENHO REF. PARTICIPAÇÃO DE 05 (CINCO) SERVIDORES DO MPCE NO CURSO DE TOPOGRAFIA COM DRONE, A REALIZAR-SE DE FORMA HÍBRIDA (PRESENCIAL E ONLINE), NOS DIAS 07, 08 E 09/05/2025, COM CARGA HORÁRIA TOTAL DE 52H/A, POR MEIO DE INEXIGIBILIDADE DE LICITAÇÃO.</t>
  </si>
  <si>
    <t>GEODATA ENGENHARIA EIRELI</t>
  </si>
  <si>
    <t>5683561000156</t>
  </si>
  <si>
    <t>WENDT E BARRETO GESTÃO EDUCACIONAL</t>
  </si>
  <si>
    <t>41653466000173</t>
  </si>
  <si>
    <t>Lei n° 14.133/2021, Art. 74</t>
  </si>
  <si>
    <t>HENRIQUES CACOZZA PRESTAÇÃO DE SERVIÇOS NA AREA SOCIAL LTDA</t>
  </si>
  <si>
    <t>19833098000196</t>
  </si>
  <si>
    <t>Lei n° 14.133/2021, Art. 74, inciso III, alínea "f" e Contrato nº 014/2025.</t>
  </si>
  <si>
    <t>PERFORMES CONSULTORIA EM INOVAÇÃO E AGILIDADE LTDA</t>
  </si>
  <si>
    <t>30075751000138</t>
  </si>
  <si>
    <t>EMPENHO REF. 02 (DUAS) INSCRIÇÕES NO CONGRESSO E WORKSHOP ISMA-BR 2025, A REALIZAR-SE DE FORMA PRESENCIAL, EM PORTO ALEGRE-RS, NO PERÍODO DE 24 A 26.06.2025, COM CARGA HORÁRIA TOTAL DE 24H/A, POR MEIO DE INEXIGIBILIDADE DE LICITAÇÃO, CONF. ORDEM DE S"&amp;"ERVIÇO 015/2025/SEGEP.</t>
  </si>
  <si>
    <t>INTERNATIONAL STRESS MANAGEMENT ASSOCIATION, SECAO BRASIL - ISMA/BR</t>
  </si>
  <si>
    <t>3915909000168</t>
  </si>
  <si>
    <t>SAEE DE JARDIM - SERVIÇOS DE ÁGUA E ESGOTO, REF. AOS MESES DE ABRIL A JUNHO DE 2025.</t>
  </si>
  <si>
    <t>Lei n° 14.133/2021 (art._x000D_
72 e 74, inciso III, alínea “f”).</t>
  </si>
  <si>
    <t>CONTRATAÇÃO DE 02 (DUAS) INSCRIÇÕES PARA O CURSO ASSESSORIA JURÍDICA E CONTROLE INTERNO NA NOVA LEI DE LICITAÇÕES, COM CARGA HORÁRIA DE 16H/A (DEZESSEIS HORAS-AULA), VISANDO A CAPACITAÇÃO DE SERVIDORES DO MINISTÉRIO PÚBLICO DE ESTADO DO CEARÁ.PARTICI"&amp;"PANTES: ANA CRISTINA VIANA GONÇALVES E SAMANTHA MEDEIROS XIMENES.</t>
  </si>
  <si>
    <t>TRAINING CONSULTORIA E CAPACITACAO LTDA</t>
  </si>
  <si>
    <t>32129755000187</t>
  </si>
  <si>
    <t>Lei n° 14.133/2021, art. 75, XV, conf. Contrato 103/2024.</t>
  </si>
  <si>
    <t>339039 - 14 - 2224.83</t>
  </si>
  <si>
    <t>Lei n° 14.133/2021, Art. 75, XIV e Ordem de serviço s/nº/2025/ESMP.</t>
  </si>
  <si>
    <t>REFERENTE A PRESTAÇÃO DE SERVIÇOS DE CONFECÇÃO DE 200 (DUZENTAS) BOLSAS DE MATERIAL BIODEGRADÁVEL (ECOBAGS) BOLSAS DE MATERIAL BIODEGRADÁVEL (ALGODÃO CRU), COM ALÇA DE OMBRO E PROFUNDIDADE LATERAL COM ALTURA DE 38CM, LARGURA 40 CM, PROFUNDIDADE 10 CM"&amp;", PERSONALIZADA 4 X 0 EM SERIGRAFIA, COM ESPECIFICAÇÕES PERSONALIZADAS DO CONGRESSO REGIONAL DO MINISTÉRIO PÚBLICO, A REALIZAR-SE NOS DIAS 05 E 06 DE JUNHO DE 2025, NO MUNICÍPIO DE ARACATI/CE.</t>
  </si>
  <si>
    <t>339030 - 1 - 1880.19</t>
  </si>
  <si>
    <t>ASS DE PAIS E AMIGOS DOS EXC DE EUSEBIO</t>
  </si>
  <si>
    <t>2320822000185</t>
  </si>
  <si>
    <t>FRANCISCO NAZARENO DE FARIAS</t>
  </si>
  <si>
    <t>38194562368</t>
  </si>
  <si>
    <t>Lei 8.666/1993 Art.24, Contrato nº 033/2022, TERMO DE RECONHECIMENTO DE DÍVIDA Nº 0024/2025/SEFIN.</t>
  </si>
  <si>
    <t>Lei 8.666/1993 Art.24, Contrato nº 028/2022/PGJ e TERMO DE RECONHECIMENTO DE DÍVIDA Nº 0023/2025/SEFIN.</t>
  </si>
  <si>
    <t>Lei 8.666/1993 Art.24, 085/2019/PGJ e TERMO DE RECONHECIMENTO DE DÍVIDA Nº 0022/2025/SEFIN.</t>
  </si>
  <si>
    <t>Lei n° 14.133/2021, Art. 75, IX e Contrato nº 101/2024.</t>
  </si>
  <si>
    <t>Lei 8.666/1993 Art.24 ,  Contrato nº 016/2022.</t>
  </si>
  <si>
    <t>Lei 8.666/1993 Art.24 4 e Contrato nº_x000D_
028/2022.</t>
  </si>
  <si>
    <t xml:space="preserve">Lei 8.666/1993 Art.24 ,X. </t>
  </si>
  <si>
    <t>Lei 8.666/93, art. 24, V.</t>
  </si>
  <si>
    <t>DIFERENCIAL SERVIÇOS E TREINAMENTOS LTDA-ME</t>
  </si>
  <si>
    <t>19617435000108</t>
  </si>
  <si>
    <t>Lei 8.666/1993 Art.24  e Contrato nº 085/2019.</t>
  </si>
  <si>
    <t xml:space="preserve">Lei 8.666/1993 Art.24 e Contrato nº 084/2019. </t>
  </si>
  <si>
    <t>Lei 8.666/1993 Art.24 e Contrato nº 074/2019.</t>
  </si>
  <si>
    <t>Lei 8.666/1993 Art.24 e Contrato nº 051/2019.</t>
  </si>
  <si>
    <t>Lei 8.666/1993 Art.24 e Contrato nº 039/2013.</t>
  </si>
  <si>
    <t>Lei n° 14.133/2021, Art. 74 e CONTRATO Nº 093/2024.</t>
  </si>
  <si>
    <t>Lei n° 14.133/2021, Art. 74 e Contrato nº 044/2023.</t>
  </si>
  <si>
    <t>Lei n° 14.133/2021, Art. 74  e Contrato nº 044/2024.</t>
  </si>
  <si>
    <t>Lei n° 14.133/2021, Art. 74 e Contrato nº  036/2023.</t>
  </si>
  <si>
    <t>Lei 8.666/1993 Art.24  e Contrato nº 036/2022.</t>
  </si>
  <si>
    <t>Lei 8.666/1993 Art.24 e Contrato nº 008/2017.</t>
  </si>
  <si>
    <t>Lei 8.666/1993 Art.24 e Contrato nº 022/2010.</t>
  </si>
  <si>
    <t>Lei 8.666/1993 Art.24 e Contrato nº 034/2021.</t>
  </si>
  <si>
    <t>Lei 8.666/1993 Art.24  e Contrato nº 033/2022.</t>
  </si>
  <si>
    <t>Lei n° 14.133/2021, Art. 74 e Contrato nº 016/2025.</t>
  </si>
  <si>
    <t>Lei 8.666/1993 Art.24 e Contrato nº 026/2021.</t>
  </si>
  <si>
    <t>Lei 8.666/1993 Art.24  e Contrato nº 025/2021.</t>
  </si>
  <si>
    <t>Lei 8.666/1993 Art.24 e Contrato nº 048/2019.</t>
  </si>
  <si>
    <t>Lei 8.666/1993 Art.24 e Contrato nº 041/2021.</t>
  </si>
  <si>
    <t>Lei 8.666/1993 Art.24 ,CONF. CONTRATO Nº 012/2022, TERMO DE RECONHECIMENTO DE DÍVIDA Nº 0025/2025/SEFIN, NP 2025NP000175 e CÓDIGO Nº 25003645.</t>
  </si>
  <si>
    <t>339092 - 14 - 2179.39</t>
  </si>
  <si>
    <t>Lei 8.666/1993 Art.24 e Contrato nº 002/2023.</t>
  </si>
  <si>
    <t>Lei 8.666/1993 Art.24  e Contrato nº 014/2017.</t>
  </si>
  <si>
    <t>Lei n° 14.133/2021, Art. 74 e  Contrato nº 054/2023</t>
  </si>
  <si>
    <t>Lei 8.666/1993 Art.24 e Contrato nº 005/2024.</t>
  </si>
  <si>
    <t>Lei 8.666/1993 Art.24 e Contrato nº 084/2019.</t>
  </si>
  <si>
    <t>Lei 8.666/1993 Art.24 e Contrato nº 012/2022</t>
  </si>
  <si>
    <t>SAAE - SERVIÇO AUTÔNOMO DE ÁGUA E ESGOTO DE NOVA RUSSAS, REF. AO MÊS DE JUNHO DE 2025. (INEXIGIBILIDADE).</t>
  </si>
  <si>
    <t xml:space="preserve">SAAE DE NOVA RUSSAS </t>
  </si>
  <si>
    <t>7690399000129</t>
  </si>
  <si>
    <t>EMPENHO REF. 32º CURSO SOBRE CONTRATAÇÕES DE BENS E SERVIÇOS DE TECNOLOGIA DA INFORMAÇÃO E COMUNICAÇÃO DE ACORDO, A SER REALIZADO EM BRASÍLIA-DF, DE 21 A 25/07/2025, COM CARGA DE 24 H/A, POR MEIO DE INEXIGIBILIDADE DE LICITAÇÃO, CONF. ORDEM DE SERVIÇ"&amp;"O S/N/2025/SEAC.PARTICIPANTES:RICARDO PEREIRA SALES E LUCAS JUVENCIO SPINOSA DE SOUZA.</t>
  </si>
  <si>
    <t>ASSOCIACAO BRASILEIRA DE ORCAMENTO PUBLICO</t>
  </si>
  <si>
    <t>398099000121</t>
  </si>
  <si>
    <t>Lei n° 14.133/2021, Art. 74.</t>
  </si>
  <si>
    <t>CONTRATAÇÃO DO COLÉGIO DE DIRETORES DE ESCOLAS E CENTROS DE ESTUDOS E APERFEIÇOAMENTO FUNCIONAL DOS MINISTÉRIOS PÚBLICOS DO BRASIL - CDEMP, TENDO COMO OBJETO O PAGAMENTO DA CONTRIBUIÇÃO ANUAL, DE RESPONSABILIDADE DA ESCOLA SUPERIOR DO MINISTÉRIO PÚBL"&amp;"ICO DO ESTADO DO CEARÁ  ESMP, RELATIVA AO EXERCÍCIO DE 2025.</t>
  </si>
  <si>
    <t>339039 - 14 - 2234.94</t>
  </si>
  <si>
    <t>CDEMP</t>
  </si>
  <si>
    <t>20519953000178</t>
  </si>
  <si>
    <t>PRESTAÇÃO DE SERVIÇOS TÉCNICOS ESPECIALIZADOS ATRAVÉS DE UM CURSO ABORDANDO O TEMA: BASES LEGAIS, DIREITOS E INTERFACE COM DEFESA DO CONSUMIDOR - CONCEITOS, FUNDAMENTOS E PRINCÍPIOS DE PRIVACIDADE E PROTEÇÃO DE DADOS PESSOAIS PARA ATUAÇÃO PELO MINIST"&amp;"ÉRIO PÚBLICO, DIA 27 DE JUNHO, COM CARGA HORÁRIA DE 8HS, PARA MEMBROS, SERVIDORES E COLABORADORES DO MPCE, POR MEIO DE INEXIGIBILIDADE  DE LICITAÇÃO, CONF. DE ORDEM DE SERVIÇO S/N/2025/ESMP.</t>
  </si>
  <si>
    <t>MARTINS DE ALMEIDA ADVOGADOS</t>
  </si>
  <si>
    <t>2085415000130</t>
  </si>
  <si>
    <t>INSCRIÇÕES DE SERVIDORES DO MINISTÉRIO PÚBLICO DO ESTADO DO CEARÁ NO CONGRESSO RPA &amp; AI CONGRESS, A SER REALIZADO NOS DIAS 15 E 16 DE JULHO DE 2025, EM SÃO PAULO/SP, COM CARGA HORÁRIA TOTAL DE 16 HORAS/AULA.PARTICIPANTES: 1- DILTHEY PONTES FORTE - AS"&amp;"SESSOR DE TRANSFORMAÇÃO DIGITAL E PROJETOS ESTRATÉGICOS2- PEDRO HENRIQUE MOREIRA FREITAS  ASSESSOR TÉCNICO ESPECIAL I3 - SAULO HENRIQUE DE OLIVEIRA MARQUES - ASSESSOR TÈCNICO ESPECIAL II</t>
  </si>
  <si>
    <t>IIMA-INFO MANAGEMENT COMUNICAÇÃO LTDA</t>
  </si>
  <si>
    <t>38904674000193</t>
  </si>
  <si>
    <t>Lei n° 14.133/2021, Art. 74, III.</t>
  </si>
  <si>
    <t>PARTICIPAÇÃO DE 01 (UM) SERVIDOR DA SECRETARIA DE COMUNICAÇÃO DO MPCE, JOSÉ REGINALDO AGUIAR (MATRÍCULA 216607-1-0), NO CONGRESSO BRASILEIRO DE ASSESSORES DE COMUNICAÇÃO DO SISTEMA DE JUSTIÇA (CONBRASCOM) - EDIÇÃO 2025. (PERÍODO: 06/08/2025 A 08/08/2"&amp;"025),INEXIGIBILIDADE.</t>
  </si>
  <si>
    <t>FORUM NACIONAL DE COMUNICACAO E JUSTICA</t>
  </si>
  <si>
    <t>5569714000139</t>
  </si>
  <si>
    <t>Lei n° 14.133/2021, Art. 74 (INEXIGIBILIDADE)</t>
  </si>
  <si>
    <t>CONTRATAÇÃO DE CURSO, IN COMPANY, DE PARÂMETROS E PROTOCOLOS PARA REALIZAÇÃO DE VISITAS DE INSPEÇÃO EM ILPI'S, DESTINADA À CAPACITAÇÃO DOS 8 (OITO) COLABORADORES DO NÚCLEO DE APOIO TÉCNICO, CONTEMPLANDO A ÁREA DO PSICOSOSSOCIAL.PARTICIPANTES: JULIANA"&amp;" ALVES DO NASCIMENTO  (CHEFE DE ÁREA) ANALISTA MINISTERIAL  SERVIÇO SOCIALLEILANE SILVA CAVALCANTE  ANALISTA MINISTERIAL  SERVIÇO SOCIALTATIANE FARIAS DE MELO MORAIS  TÉCNICA MINISTERIAL  SERVIÇO SOCIALLETÍCIA BARRETO ALVES DE SABOIA  ANALISTA MINIST"&amp;"ERIAL  PSICOLOGIAPATRÍCIA PAZ BEZERRA ALVES  TÉCNICA MINISTERIAL  PSICOLOGIAANA MARGARETH ARAÚJO VIANA  CEDIDA (À DISPOSIÇÃO)  SERVIÇO SOCIALYASHMIN MICHELLE RIBEIRO DE ARAÚJO  ANALISTA MINISTERIAL  SERVIÇO SOCIALANA CAROLINA DA COSTA ARAÚJO  ANALIST"&amp;"A MINISTERIAL  PSICOLOGIA</t>
  </si>
  <si>
    <t>POTERE SOCIAL CURSOS E TREINAMENTOS LTDA</t>
  </si>
  <si>
    <t>14301966000173</t>
  </si>
  <si>
    <t>SAAE DE BREJO SANTO- SERVIÇOS DE ÁGUA E ESGOTO, REF. AOS MESES DE JULHO À SET/2025.</t>
  </si>
  <si>
    <t>SAAE DE CANINDÉ - SERVIÇOS DE ÁGUA E ESGOTO, REF. AOS MESES DE JULHO À SET/2025.</t>
  </si>
  <si>
    <t>SAAE DE CRATO - SERVIÇOS DE ÁGUA E ESGOTO, REF. AOS MESES DE JULHO À SET/2025.</t>
  </si>
  <si>
    <t>SAAE DE ICÓ SERVIÇOS DE ÁGUA E ESGOTO, REF. AOS MESES DE JULHO À SET/2025.</t>
  </si>
  <si>
    <t>SAAE DE IGUATU - SERVIÇOS DE ÁGUA E ESGOTO, REF. AOS MESES DE JULHO À SET/2025.</t>
  </si>
  <si>
    <t>SAAE DE GRANJA- SERVIÇOS DE ÁGUA E ESGOTO, REF. AOS MESES DE JULHO À SET/2025.</t>
  </si>
  <si>
    <t>SAAE ITAPAJÉ-SERVIÇOS DE ÁGUA E ESGOTO, REF. AOS MESES DE JULHO À SET/2025.</t>
  </si>
  <si>
    <t>SAAE JAGUARIBE -SERVIÇOS DE ÁGUA E ESGOTO, REF. AOS MESES DE JULHO À SET/2025.</t>
  </si>
  <si>
    <t>SAAE JARDIM-SERVIÇOS DE ÁGUA E ESGOTO, REF. AOS MESES DE JULHO À SET/2025.</t>
  </si>
  <si>
    <t>SAAE DE JUCÁS- SERVIÇOS DE ÁGUA E ESGOTO, REF. AOS MESES DE JULHO À SET/2025.</t>
  </si>
  <si>
    <t>SAAE DE LIMOEIRO DO NORTE - SERVIÇOS DE ÁGUA E ESGOTO, REF. AOS MESES DE JULHO À SET/2025.</t>
  </si>
  <si>
    <t>SAAE DE MORADA NOVA - SERVIÇOS DE ÁGUA E ESGOTO, REF. AOS MESES DE JULHO À SET/2025.</t>
  </si>
  <si>
    <t>SERVIÇO AUTONOMO DE AGUA E ESGOTO - SAAE - DO MUNICIPIO DE NOVA RUSSAS- CE, RE. AOS MESES DE JULHO A SETEMBRO DE 2025</t>
  </si>
  <si>
    <t>SERVIÇO AUTÔNOMO DE ÁGUA E ESGOTO - SAAE DE QUIXERAMOBIM, REF. AOS MESES DE JULHO A SETEMBRO DE 2025</t>
  </si>
  <si>
    <t>SAAE SERVIÇO AUTÔNOMO DE ÁGUA E ESGOTO DE SOBRAL - SAAE DE SOBRAL-CE, REF AO MESES DE JULHO À SET/2025.</t>
  </si>
  <si>
    <t>SAAE SERVIÇO AUTONOMO DE AGUA E ESGOTO SOLONOPOLE, REF. AO MESES DE JULHO È SET/2025.</t>
  </si>
  <si>
    <t>SERVIÇOS DE ÁGUA E ESGOTO- COMPANHIA DE ÁGUA E ESGOTO DO ESTADO DO CEARÁ - CAGECE, REF. AOS MESES DE JULHO A SETEMBRO DE 2025.</t>
  </si>
  <si>
    <t>Lei n° 14.133/2021, Art. 75 e Contrato nº 095/2024.</t>
  </si>
  <si>
    <t>Lei 8.666/93 Art.25 - Caput e Convênio 006/2022/SEINFRA.</t>
  </si>
  <si>
    <t>SERVIÇO TELEFÔNICO 0800, CONF. CONVÊNIO Nº 006/2022/SEINFRA., REF. AOS MESES DE JULHO A SETEMBRO DE 2025.</t>
  </si>
  <si>
    <t>339039 - 14 - 2187.47</t>
  </si>
  <si>
    <t>OI S.A. - EM RECUPERACAO JUDICIAL</t>
  </si>
  <si>
    <t>76535764000143</t>
  </si>
  <si>
    <t>CURSO COM O TEMA COSO ICIF, CARGA HORÁRIA DE 40 HORAS, ON LINE, NO DIA 28/07/2025, PARA CAPACITAÇÃO DE SERVIDORA DESTE MP CE, DINA QUINTAS COLARES ARAÚJO, NA DATA DE 28 DE JULHO A 01 DE AGOSTO DE 2025</t>
  </si>
  <si>
    <t>INSTITUTO DOS AUDITORES INTERNOS DO BRASIL</t>
  </si>
  <si>
    <t>62070115000100</t>
  </si>
  <si>
    <t>ANUIDADE DE ÒRGÃOS FILIADOS À ASSOCIAÇÃO BRASILEIRA DE EDITORES CIENTÍFICOS- ABEC BRASIL, PARA PRESTAÇÃO DE SERVIÇOS DE DISPONIBILIZAÇÃO DE IDENTIFICADORES DIGITAIS DE DOCUMENTOS-DOI.</t>
  </si>
  <si>
    <t>Lei 8.666/93, art. 24, inc. X, conf. Contrato 017/2022.</t>
  </si>
  <si>
    <t>339140 - 78 - 3081.08</t>
  </si>
  <si>
    <t xml:space="preserve">Lei 14.133/2021, art. 74, I, conf. Contrato 059/2023._x000D_
</t>
  </si>
  <si>
    <t>Lei 8.666/1993, art.24, II.</t>
  </si>
  <si>
    <t>Lei 8.666/93, art. 24, X. TRD 0027/2025/SEFIN.</t>
  </si>
  <si>
    <t xml:space="preserve">Lei 14.133/2021, art. 74, I._x000D_
</t>
  </si>
  <si>
    <t>339140 - 78 - 2488.02</t>
  </si>
  <si>
    <t>Lei 8.666/93, art. 24, X. TRD 0028/2025/SEFIN.</t>
  </si>
  <si>
    <t>Lei n° 14.133/2021, art. 75, II.</t>
  </si>
  <si>
    <t>EMPENHO REF. COMPRA DE EQUIPAMENTOS E ACESSÓRIOS DE SINALIZAÇÃO E COMUNICAÇÃO PARA VIATURAS OFICIAIS, POR MEIO DE DISPENSA ELETRÔNICA, CONF. ORDEM DE COMPRA S/N/2025/NUSIT.</t>
  </si>
  <si>
    <t>339030 - 1 - 1902.44</t>
  </si>
  <si>
    <t>JSF SOLUCOES E ASSISTENCIA VEICULAR LTDA</t>
  </si>
  <si>
    <t>57922761000118</t>
  </si>
  <si>
    <t>Lei n° 14.133/2021, Art. 74 CONTRATO 025/2024</t>
  </si>
  <si>
    <t>03(TRÊS) INSCRIÇÕES PARA SERVIDORES DESTE MP-CE: FLÁVIO LÚCIO DE DRUMONT S SILVA SEGUNDO,JOELSON CAVALCANTE DA SILVA,PEDRO HENRIQUE DE ARAUJO NUNES PEREIRA  PARA PARTICIPAR NO  XXI SINAOP-SIMPÓSIO NACIONAL DE AUDITORIA DE OBRAS A SER REALIZADO EM MAN"&amp;"AUS-AM DE 18 A 22 DE AGOSTO DE 2025.</t>
  </si>
  <si>
    <t>IBRAOP INST BRAS DE AUDIT DE OB PUB</t>
  </si>
  <si>
    <t>4716733000188</t>
  </si>
  <si>
    <t>Lei n° 14.133/2021, art. 75. Dispensa Eletrônica 012/2025.</t>
  </si>
  <si>
    <t>EMPENHO REF. COMPRA DE 50 (CINQUENTA) CAVALETES DE SINALIZAÇÃO, CONF. DISPENSA ELETRÔNICA 012/2025 E ORDEM DE COMPRA 058/2025/SEAD.</t>
  </si>
  <si>
    <t>UP CENTER COMERCIO DE ELETRONICOS</t>
  </si>
  <si>
    <t>52439185000139</t>
  </si>
  <si>
    <t>EMPENHO REF. COMPRA DE 150 (CENTO E CINQUENTA) CONES DE SINALIZAÇÃO VIÁRIA, CONF. DISPENSA ELETRÔNICA 012/2025 E ORDEM DE COMPRA 059/2025/SEAD.</t>
  </si>
  <si>
    <t>ATENA COMERCIO COMPRA E VENDA LTDA</t>
  </si>
  <si>
    <t>42107381000152</t>
  </si>
  <si>
    <t>EMPENHO REF. 01 (UMA) INSCRIÇÃO NO CONGRESSO NACIONAL SOBRE GESTÃO DE PESSOAS - CONARH, A REALIZAR-SE DE FORMA PRESENCIAL, EM SÃO PAULO-SP, NOS DIAS 19, 20 E 21/08/2025, COM CARGA HORÁRIA TOTAL DE 30,5H/A, POR MEIO DE INEXIGIBILIDADE DE LICITAÇÃO, CO"&amp;"NF. ORDEM DE SERVIÇO 008/2025/SEGEP.PARTICIPANTE:ANA LÚCIA SUDÁRIO DIAS BRANCO, SECRETÁRIA DE GESTÃO DE PESSOAS.</t>
  </si>
  <si>
    <t>ASSOCIACAO BRAS DE RECURSOS HUMANOS</t>
  </si>
  <si>
    <t>43456425000112</t>
  </si>
  <si>
    <t xml:space="preserve">Lei 8.666/1993 Art.24 </t>
  </si>
  <si>
    <t>Lei n° 14.133/2021, Art. 75</t>
  </si>
  <si>
    <t>SERVIÇO DE TELEFONIA MÓVEL, VIVO,POR ESTIMATIVA, PARA OS MESES DE JULHO A SETEMBRO, CONFORME CONVÊNIO 06/2022- SEINFRA</t>
  </si>
  <si>
    <t>EMPENHO REF. INSCRIÇÃO NO CURSO GESTÃO DO PATRIMÔNIO PÚBLICO, A REALIZAR-SE DE FORMA PRESENCIAL, EM BRASÍLIA-DF, NOS DIAS 06, 07 E 08/08/2025, POR MEIO DE INEXIGIBILIDADE DE LICITAÇÃO, CONF. ORDEM DE SERVIÇO 019/2025/SEAD.PARTICIPANTES:1 - CIRO GUSTA"&amp;"VO DA SILVA DUMONT VIEIRA.2 - DANILO FERNANDES DA SILVA.</t>
  </si>
  <si>
    <t>CONSULTRE CONSULTORIA &amp; TREINAMENTO LTDA</t>
  </si>
  <si>
    <t>36003671000153</t>
  </si>
  <si>
    <t>EMPENHO REF. INSCRIÇÃO NO CURSO DE CAPACITAÇÃO INTELIGÊNCIA ARTIFICIAL APLICADA ÀS CONTRATAÇÕES PÚBLICAS, A REALIZAR-SE DE FORMA PRESENCIAL, EM FOZ DO IGUAÇU-PR, NOS DIAS 17, 18 E 19/09/2025, POR MEIO DE INEXIGIBILIDADE DE LICITAÇÃO, CONF. ORDEM DE S"&amp;"ERVIÇO 018/2025/SEAD.PARTICIPANTES:1 - JOÃO PAULO RODRIGUES DA COSTA.2 - MARIA CLAUDIANE DA SILVA DUARTE.3 - RAQUEL DE SOUSA SANTOS.</t>
  </si>
  <si>
    <t>Lei n° 14.133/2021, Art. 74, INEXIGIBILIDADE</t>
  </si>
  <si>
    <t>FUNDACAO DOM CABRAL</t>
  </si>
  <si>
    <t>19268267000192</t>
  </si>
  <si>
    <t>Lei 8.666/1993 Art.24  CONTRATO 033/2021</t>
  </si>
  <si>
    <t>Lei 8.666/1993 Art.24  CONTRATO 029/2022</t>
  </si>
  <si>
    <t>Lei 14.133/2021, art. 75, I.</t>
  </si>
  <si>
    <t>MARIA ODETE PINTO LEITE</t>
  </si>
  <si>
    <t>31514162334</t>
  </si>
  <si>
    <t xml:space="preserve">EMPENHO REF. SERVIÇO DE ÁGUA DE IPU, REF. JUL, AGO E SET/2025, POR ESTIMATIVA. </t>
  </si>
  <si>
    <t xml:space="preserve">SAAE DE IPU                             </t>
  </si>
  <si>
    <t>7530736000110</t>
  </si>
  <si>
    <t>INSCRIÇÃO PARA SERVIDOR PAULO ROBERTO PEREIRA RAMOS, LOTADO NA SEGEP, PARA FOMRAÇÃO EM DESIGN DE APRENDIZAGEM, FORMATO EAD, NO PERÍODO DE 04 A 01/09/2025, COM CARGA GORÁRIA DE 24 HORAS.</t>
  </si>
  <si>
    <t>Trahentem Soluções em aprendizagem</t>
  </si>
  <si>
    <t>33932371000160</t>
  </si>
  <si>
    <t>EMPENHO REF. 02 (DUAS) INSCRIÇÕES NO CURSO PRESENCIAL ENTENDENDO AS PECULIARIDADES DO EMPENHO DA DESPESA E CLASSIFICAÇÕES ORÇAMENTÁRIAS, PARA OS DIAS 15 A 17.09.2025, EM FOZ DO IGUAÇU-PR, POR MEIO DE INEXIGIBILIDADE DE LICITAÇÃO, CONF. ORDEM DE SERVI"&amp;"ÇO 001/2025/ SEFIN.PARTICIPANTES:1. EMANUEL FERREIRA LIMA, TÉCNICO MINISTERIAL; E2. CRISTIANO MENDES SILVA, ANALISTA MINISTERIAL.</t>
  </si>
  <si>
    <t>ONE CURSOS TREINAMENTO ,  DESENVOLVIMENTO E CAPACITACAO -LTDA</t>
  </si>
  <si>
    <t>6012731000133</t>
  </si>
  <si>
    <t>EMPENHO REF. CAPACITAÇÃO EM METODOLOGIAS ÁGEIS E GESTÃO DE PRODUTOS, PARA 20 (VINTE) PESSOAS, DE FORMA PRESENCIAL, NA SEDE DA PROCURADORIA-GERAL DE JUSTIÇA NO CAMBEBA, NO PERÍODO DE SETEMBRO A NOVEMBRO/2025, POR MEIO DE INEXIGIBILIDADE DE LICITAÇÃO, "&amp;"CONF. ORDEM DE SERVIÇO 009/2025/SEGEP.</t>
  </si>
  <si>
    <t>Lei n° 14.133/2021, Art. 75 e normas correlatas, IEI 9.784/99</t>
  </si>
  <si>
    <t>EMPENHO REF. 02 (DUAS) INSCRIÇÕES NO EVENTO CONECT AUTISMO, PROGRAMADO PARA 24 E 25.08.2025, PRESENCIAL, EM FORTALEZA-CE, POR MEIO DE INEXIGIBILIDADE DE LICITAÇÃO, CONF. ORDEM DE SERVIÇO S/N/2025/ESMP.PARTICIPANTES:LINDEMBERG BEZERRA DE MENEZES ELUCI"&amp;"ANA DE OLIVEIRA MENDES.</t>
  </si>
  <si>
    <t>CONECTAUTISMO LTDA</t>
  </si>
  <si>
    <t>53145083000173</t>
  </si>
  <si>
    <t>EMPENHO REF. INSCRIÇÃO EM CURSO DE CAPACITAÇÃO: GESTÃO E FISCALIZAÇÃO DE CONTRATOS - ESTUDO E RESOLUÇÃO DE CASOS PRÁTICOS, PROGRAMADO PARA 1º A 05.09.2025, ONLINE, POR MEIO DE INEXIGIBILIDADE DE LICITAÇÃO, CONF. ORDEM DE SERVIÇO S/N/2025/SEAD.PARTICI"&amp;"PANTES:1 - MARCOS HERBERT MAIER E2 - ÉRICA LOPES RABELO.</t>
  </si>
  <si>
    <t>EMPENHO REF. 01 (UMA) INSCRIÇÃO NO CURSO PRÁTICO DE INTELIGÊNCIA ARTIFICIAL APLICADA ÀS CONTRATAÇÕES PÚBLICAS, A REALIZAR-SE DE FORMA PRESENCIAL, EM FOZ DO IGUAÇU-PR, NO PERÍODO DE 17 A 19.09.2025, COM CARGA HORÁRIA TOTAL DE 24H/A, POR MEIO DE INEXIG"&amp;"IBILIDADE DE LICITAÇÃO, CONF. ORDEM DE SERVIÇO 003/2025/SEAC.PARTICIPANTE:JOÃO ROBERTO VIEIRA DE MELO, TÉCNICO MINISTERIAL, MAT. 215954-1-1, LOTADO NA SECRETARIA DE AQUISIÇÕES E CONTRATOS / GERÊNCIA DE CONTRATOS.</t>
  </si>
  <si>
    <t>IBGM-INSTITURO BRASILEIRO DE GESTÃO E MARKETING LTDA</t>
  </si>
  <si>
    <t>7397220000140</t>
  </si>
  <si>
    <t>EMPENHO REF. ORGANIZAÇÃO DO EVENTO ARTÍSTICO/CULTURAL INTEGRA MPCE DIAS DOS PAIS, NO DIA 05/09/2025, CONF. DISPENSA ELETRÔNICA 027/2025 E ORDEM DE SERVIÇO S/N/2025/SEGEP.</t>
  </si>
  <si>
    <t>339039 - 14 - 2197.55</t>
  </si>
  <si>
    <t>SABOR E EVENTOS LTDA</t>
  </si>
  <si>
    <t>42120800000196</t>
  </si>
  <si>
    <t>Lei n° 14.133/2021, art. 75, IX.</t>
  </si>
  <si>
    <t>SÁVIO ROBSON DE OLIVEIRA FONTELES</t>
  </si>
  <si>
    <t>6511969304</t>
  </si>
  <si>
    <t xml:space="preserve">Lei 14.133/2021, art. 75, XV._x000D_
</t>
  </si>
  <si>
    <t>7084577000178</t>
  </si>
  <si>
    <t>Lei 14.133/2021.</t>
  </si>
  <si>
    <t>EMPENHO REF. SERVIÇOS DE CERTIFICAÇÃO DIGITAL, CONF. PE 032/2023, ARP 069/2023 E ORDEM DE SERVIÇO SETIN.</t>
  </si>
  <si>
    <t>339040 - 78 - 3077.03</t>
  </si>
  <si>
    <t>EMPENHO REF. 01 (UMA) INSCRIÇÃO NO CONGRESSO BRASILEIRO DE CONTADORES PÚBLICOS, PRESENCIAL, PROGRAMADO PARA OS DIAS 13 A 16.10.2025, EM FOZ DO IGUAÇU-PR, POR MEIO DE INEXIGIBILIDADE DE LICITAÇÃO, CONF. ORDEM DE SERVIÇO S/N/2025/PGJ.PARTICIPANTE:- CRI"&amp;"STIANO MENDES DA SILVA. MATRÍCULA: 22006410.</t>
  </si>
  <si>
    <t>CONTAGOV</t>
  </si>
  <si>
    <t>52281385000106</t>
  </si>
  <si>
    <t>CURSO SUPRIMENTO DE FUNDOS E CARTÃO DE PAGAMENTOS DO GOVERNO FEDERAL DE ACORDO COM NOVA PORTARIA 1344/2023, 100 % ON-LINE. CARGA HORÁRIA 20 HORAS. PARTICIPANTES EMANUELE MOREIRA DA SILVA.</t>
  </si>
  <si>
    <t>Supreme Treinamentos LTDA</t>
  </si>
  <si>
    <t>53940195000116</t>
  </si>
  <si>
    <t>EMPENHO REF. 02 (DUAS) INSCRIÇÕES NO CURSO CONTRATAÇÕES DIRETAS (DISPENSA E INEXIGIBILIDADE) DO PLANEJAMENTO À GESTÃO CONTRATUAL: TEORIA, LEGISLAÇÃO, JURISPRUDÊNCIA, PRÁTICA E USO DA IA COMO FERRAMENTA DE APOIO NA INSTRUÇÃO PROCESSUAL, NO FORMATO PRE"&amp;"SENCIAL, NOS DIAS 05 A 07.11.2025, EM FORTALEZA-CE, POR MEIO DE INEXIGIBILIDADE DE LICITAÇÃO, CONF. ORDEM DE SERVIÇO 004/2025/SEAC.PARTICIPANTES:1 - PATRÍCIA COELHO BARBOSA, MATRÍCULA 216.340-1-8, CHEFE DO DEPARTAMENTO DE APOIO TÉCNICO E JURÍDICO ÀS "&amp;"AQUISIÇÕES E AOS CONTRATOS, LOTADA NA SECRETARIA DE AQUISIÇÕES E CONTRATOS; E2 - PAOLO ERNESTO DE FREITAS MAURÍCIO, TÉCNICO MINISTERIAL, MATRÍCULA 168.353-1-5, LOTADO NA SECRETARIA DE AQUISIÇÕES E CONTRATOS / GERÊNCIA DE CONTRATOS.</t>
  </si>
  <si>
    <t>EMPENHO REF. 03 (TRÊS) INSCRIÇÕES NO CURSO AUDITORIA DE FOLHA DE PAGAMENTO NO SETOR PÚBLICO, A SER REALIZADO NOS DIAS 03 A 07.11.2025, EM BRASÍLIA/DF, COM CARGA HORÁRIA TOTAL DE 20H/A, POR MEIO DE INEXIGIBILIDADE DE LICITAÇÃO.PARTICIPANTES:1 - FÁBIO "&amp;"SÉRGIO HENRIQUE DE MELO;2 - ANDRÉ LUÍS DUARTE MOREIRA; E3 - LUIZ OTÁVIO RODRIGUES DE FREITAS.</t>
  </si>
  <si>
    <t>MMP CURSOS CAPACITACAO E TREINAMENTO LTDA</t>
  </si>
  <si>
    <t>14087594000124</t>
  </si>
  <si>
    <t>EMPENHO REF. 5,0 (CINCO) INSCRIÇÕES NO CURSO NORMAS APLICADAS AOS REGIMES PREVIDENCIÁRIOS DO ESTADO DO CEARÁ, MINISTRADO IN COMPANY, EM FORTALEZA-CE, DE 22 A 26.09.2025, COM CARGA HORÁRIA DE 20H/A, POR MEIO DE INEXIGIBILIDADE DE LICITAÇÃO, CONF. ORDE"&amp;"M DE SERVIÇO 051/2025/SEGEP.PARTICIPANTES:- FÁBIO SÉRGIO HENRIQUE DE MELO;- ANA SUDÁRIO DIAS BRANCO;- PATRÍCIA LIMA DE SOUSA;- KELIANE DA SILVA ABREU;- ROBERTA FACÓ LOPES TORRES;- MARIA GORETTI SILVA CORDEIRO.</t>
  </si>
  <si>
    <t>339036 - 12 - 2088.21</t>
  </si>
  <si>
    <t>JAERBETH CORREIA</t>
  </si>
  <si>
    <t>1814649344</t>
  </si>
  <si>
    <t>EMPENHO REF. COMPRA DE 5.000 (CINCO MIL) ENVELOPES DE SEGURANÇA, CONF. DISPENSA ELETRÔNICA 025/2025 E ORDEM DE COMPRA 003/2025/NATI.</t>
  </si>
  <si>
    <t>339030 - 1 - 1887.28</t>
  </si>
  <si>
    <t>JP COMERCIAL E SERVIÇOS LTDA</t>
  </si>
  <si>
    <t>39874744000170</t>
  </si>
  <si>
    <t>EMPENHO REF. 01 (UMA) INSCRIÇÃO NO 28º CONGRESSO INTERNACIONAL UNIDAS - LONGEVIDADE E A PREPARAÇÃO PARA A SAÚDE DO FUTURO, PROGRAMADO PARA OS DIAS 05 A 07.11.2025, EM SALVADOR-BA, POR MEIO DE INEXIGIBILIDADE DE LICITAÇÃO, CONF. ORDEM DE SERVIÇO 050/2"&amp;"025/SEGEP ITEM 01.PARTICIPANTE:KELIANE ABREU DA SILVA, GERENTE DE APOIO AO APOSENTADO - SEGEP.</t>
  </si>
  <si>
    <t>UNIDAS - UNIAO NACIONAL DAS INSTITUICOES DE AUTOGESTAO EM SAUDE.</t>
  </si>
  <si>
    <t>69275337000108</t>
  </si>
  <si>
    <t>EMPENHO REF. CURSO IN COMPANY FORMAÇÃO DE AGENTES DE CONTRATAÇÃO, PREGOEIROS E EQUIPE DE APOIO, PROGRAMADO PARA 24 E 25.11.2025, NO FORMATO PRESENCIAL, PARA UM NÚMERO MÍNIMO DE 10 (DEZ) SERVIDORES, EM FORTALEZA-CE, POR MEIO DE INEXIGIBILIDADE DE LICI"&amp;"TAÇÃO, CONF. ORDEM DE SERVIÇO 005/2025/SEAC ITEM 01.</t>
  </si>
  <si>
    <t>NADIA APARECIDA DALL AGNOL - CONSULTORIA</t>
  </si>
  <si>
    <t>12095355000190</t>
  </si>
  <si>
    <t>EMPENHO REF. 1,0 (UMA) INSCRIÇÃO NO CURSO CONTRATAÇÕES DIRETAS (DISPENSA E INEXIGIBILIDADE) DO PLANEJAMENTO À GESTÃO CONTRATUAL, A SER REALIZADO EM FORTALEZA-CE, NO PERÍODO DE 05 A 07.11.2025, POR MEIO DE INEXIGIBILIDADE DE LICITAÇÃO.PARTICIPANTE:DAN"&amp;"IELA SILVA ARAÚJO, ANALISTA MINISTERIAL.</t>
  </si>
  <si>
    <t>EMPENHO REF. SERVIÇOS DE ÁGUA, REF. OUT E NOV/2025, POR ESTIMATIVA.</t>
  </si>
  <si>
    <t>Lei 8.666/93, art.25, caput.</t>
  </si>
  <si>
    <t>Lei n° 14.133/2021, art. 74.</t>
  </si>
  <si>
    <t>Lei 8.666/1993, art.24, X.</t>
  </si>
  <si>
    <t>Lei 8.666/1993, art. 24, X.</t>
  </si>
  <si>
    <t>Lei 8.666/1993 Art.24  CONTRATO 45/2021</t>
  </si>
  <si>
    <t>Lei 8.666/1993 Art.24  contrato 84/2019</t>
  </si>
  <si>
    <t>Lei n° 14.133/2021, Art. 74 contrato 36/2023</t>
  </si>
  <si>
    <t>Lei n° 14.133/2021, Art. 74 contrato 41/2023</t>
  </si>
  <si>
    <t>Lei 8.666/1993 Art.24  contrato 38/2022</t>
  </si>
  <si>
    <t>EMPENHO REF. 3,0 (TRÊS) INSCRIÇÕES PARA PARTICIPAÇÃO NO SIMPÓSIO BRASILEIRO DE BANCO DE DADOS, A REALIZAR-SE DE FORMA PRESENCIAL, EM FORTALEZA-CE, NO PERÍODO DE 29.09 A 02.10.2025, COM CARGA HORÁRIA TOTAL DE 24H/A, POR MEIO DE INEXIGIBILIDADE DE LICI"&amp;"TAÇÃO, CONF. ORDEM DE SERVIÇO 004/2025/SETIN.PARTICIPANTES: LUCAS SOUZA SARAIVA  ANALISTA MINISTERIAL  CIÊNCIA DA COMPUTAÇÃO; MARIA ZENEIDE  ANALISTA MINISTERIAL  CIÊNCIA DA COMPUTAÇÃO; CAIO HOLANDA COSTA  ANALISTA MINISTERIAL  CIÊNCIA DA COMPUTAÇÃO."&amp;"???</t>
  </si>
  <si>
    <t>SOC BRASILEIRA DE COMPUTACAO SBC</t>
  </si>
  <si>
    <t>29532264000178</t>
  </si>
  <si>
    <t>EMPENHO REF. 02 (DUAS) INSCRIÇÕES NO CURSO FUNDAÇÕES DE APOIO, A REALIZAR-SE DE FORMA ON LINE, NOS DIAS 18 E 19.09.2025, COM CARGA HORÁRIA TOTAL DE 16H/A, POR MEIO DE INEXIGIBILIDADE DE LICITAÇÃO.PARTICIPANTES:- TARCÍSIO FARIAS DE MELO  TÉCNICA MINIS"&amp;"TERIAL;- TIAGO DA SILVA FREITAS  ANALISTA MINISTERIAL.</t>
  </si>
  <si>
    <t>ORZIL CONSULTORIA LTDA</t>
  </si>
  <si>
    <t>8942423000132</t>
  </si>
  <si>
    <t>EMPENHO REF. CURSO PRESENCIAL PLANEJAMENTO DAS CONTRATAÇÕES: ELABORAÇÃO DOS ESTUDOS TÉCNICOS PRELIMINARES E DO TERMO DE REFERÊNCIA COM AUXÍLIO DA INTELIGÊNCIA ARTIFICIAL, EM SÃO PAULO-SP, NO PERÍODO DE 24 A 26.09.2025, POR MEIO DE INEXIGIBILIDADE DE "&amp;"LICITAÇÃO, CONF. ORDEM DE SERVIÇO 004/2025/PGJ.PARTICIPANTE:EDSON LUCAS BATISTA DE ALMEIDA, ANALISTA MINISTERIAL, LOTADO NA SEAC.</t>
  </si>
  <si>
    <t>EMPENHO REF. 02 (DUAS) INSCRIÇÕES NO EVENTO FUTURECOM - 30ª EDIÇÃO, A REALIZAR-SE DE FORMA PRESENCIAL, EM SÃO PAULO-SP, NO PERÍODO DE 30.09 A 02.10.2025, POR MEIO DE INEXIGIBILIDADE DE LICITAÇÃO, CONF. ORDEM DE SERVIÇO 002/2025/PGJ.PARTICIPANTES:- DI"&amp;"LTHEY PONTES FORTE E PEDRO;- HENRIQUE MOREIRA FREITAS.</t>
  </si>
  <si>
    <t>INFORMA MARKETS LTDA</t>
  </si>
  <si>
    <t>1914765000108</t>
  </si>
  <si>
    <t>35076587000105</t>
  </si>
  <si>
    <t>EMPENHO REF. 03 (TRÊS) INSCRIÇÕES NO CURSO CÁLCULOS JUDICIAIS E DE PRECATÓRIOS NA JUSTIÇA COMUM, PROMOVIDO NO FORMATO ON LINE, NO PERÍODO DE 05 A 30.09.2025, POR MEIO DE INEXIGIBILIDADE DE LICITAÇÃO.PARTICIPANTES:- CARLOS CHAGAS CHAVES DE OLIVEIRA  T"&amp;"ÉCNICO MINISTERIAL;- PEDRO HENRIQUE DOS SANTOS SILVA  ANALISTA MINISTERIAL;- TIAGO DA SILVA FREITAS  ANALISTA MINISTERIAL.</t>
  </si>
  <si>
    <t>GILBERTO MELO ENGENHARIA JURÍDICA LTDA</t>
  </si>
  <si>
    <t>2251485000111</t>
  </si>
  <si>
    <t>EMPENHO REF. 02 (DUAS) INSCRIÇÕES NO CURSO FUNDAÇÕES DE APOIO - ABORDAGEM JURÍDICA DO TCU, A REALIZAR-SE DE FORMA ON LINE, NOS DIAS 18 E 19.09.2025, COM CARGA HORÁRIA TOTAL DE 16H/A, POR MEIO DE INEXIGIBILIDADE DE LICITAÇÃO.PARTICIPANTES:- DENISE BOU"&amp;"DOUX DE MENDONÇA, 25ª PROMOTORIA DE JUSTIÇA;- RITA D'ALVA MARTINS RODRIGUES, 26ª PROMOTORIA DE JUSTIÇA.</t>
  </si>
  <si>
    <t>EMPENHO REF. PALESTRA IN COMPANY COM O SENHOR HAROLDO GUIMARÃES, NO DIA 12.09.2025, EM FORTALEZA-CE, POR MEIO DE INEXIGIBILIDADE DE LICITAÇÃO, CONF. ORDEM DE SERVIÇO S/N/2025/ESMP.</t>
  </si>
  <si>
    <t>SUPER ACAO CURSOS ARTES E EVENTOS LTDA</t>
  </si>
  <si>
    <t>39611409000180</t>
  </si>
  <si>
    <t>EMPENHO REF. AQUISIÇÃO DE 02 (DUAS) CÂMERAS FOTOGRÁFICAS DIGITAIS DE LONGO ALCANCE, CONF. DISPENSA ELETRÔNICA 022/2025 E ORDEM DE COMPRA 002/2025/NATI/PGJ.</t>
  </si>
  <si>
    <t>449052 - 2 - 1953.55</t>
  </si>
  <si>
    <t>VIBRATO ÁUDIO E VÍDEO LTDA</t>
  </si>
  <si>
    <t>25070535000160</t>
  </si>
  <si>
    <t>EMPENHO REF. 02 (DUAS) INSCRIÇÕES NO EVENTO SUMMIT DE INTELIGÊNCIA ARTIFICIAL PARA AS CONTRATAÇÕES PÚBLICAS, COM REALIZAÇÃO EM FORTALEZA-CE, NOS DIAS 16 E 17.09.2025, POR MEIO DE INEXIGIBILIDADE DE LICITAÇÃO, CONF. ORDEM DE SERVIÇO 004/2025/SETIN.PAR"&amp;"TICIPANTES: FRANCISCO DE PAULA MESQUITA JÚNIOR  TÉCNICO MINISTERIAL (SETIN); E KARLA MICHELLE DOS SANTOS VICENTE  ASSESSORA TÉCNICA ESPECIAL (SETIN).</t>
  </si>
  <si>
    <t>INEXP - INSTITUTO NACIONAL DE EXCELENCIA PUBLICA LTDA</t>
  </si>
  <si>
    <t>16371299000120</t>
  </si>
  <si>
    <t>EMPENHO REF. 02 (DUAS) INSCRIÇÕES EM CURSO DE CERIMONIAL, PROTOCOLO E ORGANIZAÇÃO DE EVENTOS, DE REALIZAÇÃO PRESENCIAL, NOS DIAS 13, 14, 27 E 28.09.2025, EM FORTALEZA-CE, POR MEIO DE INEXIGIBILIDADE DE LICITAÇÃO.PARTICIPANTES:- ALANE GONÇALVES PINTO "&amp;"E- JOSY NADJA DE CARVALHO SOARES.</t>
  </si>
  <si>
    <t>GF CERIMONIAL EVENTOS LTDA</t>
  </si>
  <si>
    <t>49803352000174</t>
  </si>
  <si>
    <t>EMPENHO REF. 03 (TRÊS) INSCRIÇÕES NO CURSO CONTABILIDADE APLICADA AO SETOR PÚBLICO (CASP) E ADMINISTRAÇÃO FINANCEIRA E ORÇAMENTÁRIA (AFO), PRESENCIAL, NOS DIAS 08 A 10.10.2025, EM BELO HORIZONTE-MG, POR MEIO DE INEXIGIBILIDADE DE LICITAÇÃO, CONF. ORD"&amp;"EM DE SERVIÇO S/N/2025/PGJ.PARTICIPANTES:- ÉRICA GOMES PAIVA FEITOSA;- IVANEIDE FERREIRA FARIAS E- JOSEFA JEANA DE ARAÚJO.</t>
  </si>
  <si>
    <t>EMPENHO REF. 02 (DUAS) INSCRIÇÕES NO CURSO DE CAPACITAÇÃO GESTÃO COMPLETA E EFICIENTE DO PATRIMÔNIO PÚBLICO, NO FORMATO EAD (AULAS GRAVADAS), POR MEIO DE INEXIGIBILIDADE DE LICITAÇÃO, CONF. ORDEM DE SERVIÇO 022/2025/SEAD.PARTICIPANTES:1 - GUILHERME V"&amp;"INICIUS DUETE CAVALCANTE; E2 - EMÍLIA VANELI DE OLIVEIRA.</t>
  </si>
  <si>
    <t xml:space="preserve">Lei 14.133/2021, art. 74, III, “f”._x000D_
</t>
  </si>
  <si>
    <t>EMPENHO REF. 03 (TRÊS) INSCRIÇÕES NO IX CONGRESSO DE GESTÃO TRIBUTÁRIA NA ADMINISTRAÇÃO PÚBLICA - GTAP, NO PERÍODO DE 16 A 17.10.2025, EM SALVADOR-BA, POR MEIO DE INEXIGIBILIDADE DE LICITAÇÃO, CONF. ORDEM DE SERVIÇO S/N/2025/PGJ.PARTICIPANTES:1 - TER"&amp;"ESA JACQUELINE CIRÍACO RIBEIRO;2 - ROZANE PINHEIRO RIBEIRO; E3 - SAMIA MARIA GOMES PASSOS.</t>
  </si>
  <si>
    <t>OPEN TREINAMENTOS EMPRESARIAIS LTDA ME</t>
  </si>
  <si>
    <t>9094300000151</t>
  </si>
  <si>
    <t>EMPENHO REF. 03 (TRÊS) INSCRIÇÕES NO 2º SEMINÁRIO DE INTELIGÊNCIA ARTIFICIAL APLICADO À GESTÃO PÚBLICA, PROGRAMADO 07 A 09.10.2025, EM FORTALEZA-CE, CONF. INEXIGIBILIDADE 001/2025 E ORDEM DE SERVIÇO 001/2025/PGJ.PARTICIPANTES:1 - ANTÔNIO MARIA SARAIV"&amp;"A CORREIA, GERENTE DE CONTRATOS, MATRÍCULA 214246-1-7;2 - FRANCINEUDA BEZERRA SEVERINO MAURÍCIO, GERENTE DE AQUISIÇÕES, MATRÍCULA 168226-1-2;3 - MÁRCIO SARAIVA MACIEL, TÉCNICO MINISTERIAL, MATRÍCULA 168233-1-7.</t>
  </si>
  <si>
    <t>EMPENHO REF. REALIZAÇÃO DO CONGRESSO REGIONAL DO MPCE NO CARIRI, EM JUAZEIRO DO NORTE-CE, NOS DIAS 18 E 19.09.2025, COM DISPONIBILIZAÇÃO DE ESPAÇO E ALIMENTAÇÃO, POR MEIO DE DISPENSA DE LICITAÇÃO, CONF. PGA 09.2025.00027277-2.</t>
  </si>
  <si>
    <t>339039 - 14 - 2225.85</t>
  </si>
  <si>
    <t>DJ HOTELARIA SA</t>
  </si>
  <si>
    <t>4566342000396</t>
  </si>
  <si>
    <t>EMPENHO REF. SERVIÇOS DE ÁGUA, REF. OUT, NOV E DEZ/2025, POR ESTIMATIVA.</t>
  </si>
  <si>
    <t xml:space="preserve">EMPENHO REF. SERVIÇO DE ÁGUA, REF. OUT, NOV E DEZ/2025, POR ESTIMATIVA. </t>
  </si>
  <si>
    <t>449140 - 78 - 3081.08</t>
  </si>
  <si>
    <t>EMPENHO REF. SERVIÇOS DER ÁGUA, REF. OUT E NOV/2025, POR ESTIMATIVA</t>
  </si>
  <si>
    <t>EMPENHO REF. SERVIÇOS DE ÁGUA, REF. OUT/NOV /2025, POR ESTIMATIVA.</t>
  </si>
  <si>
    <t>EMPENHO REF. SERVIÇO DE TELEFONIA MÓVEL, VIVO, PARA OS MESES OUT E NOV/2025, CONFORME CONVÊNIO 06/2022- SEINFRA, POR ESTIMATIVA.</t>
  </si>
  <si>
    <t>EMPENHO REF. SERVIÇOS DE ÁGUA E ESGOTO - COMPANHIA DE ÁGUA E ESGOTO DO ESTADO DO CEARÁ - CAGECE, REF. OUT E NOV/2025, POR ESTIMATIVA.</t>
  </si>
  <si>
    <t>339039 - 14 - 2158.19</t>
  </si>
  <si>
    <t xml:space="preserve">EMPENHO REF. SERVIÇOS DE ÁGUA, REF. OUT, NOV E DEZ/2025, POR ESTIMATIVA. </t>
  </si>
  <si>
    <t>EMPENHO REF. SERVIÇOS DE ÁGUA, REF. OUT, NOV / DEZ 2025, POR ESTIMATIVA.</t>
  </si>
  <si>
    <t>EMPENHO REF. SERVIÇOS DE ÁGUA REF. OUT, NOVE E DEZ/2025, POR ESTIMATIVA.</t>
  </si>
  <si>
    <t>ROSANA MAIA DA SILVA</t>
  </si>
  <si>
    <t>3987146303</t>
  </si>
  <si>
    <t>CURSO TRANSFEREGOV PARA O TERCEIRO SETOR, EXECUÇÃO, MONITORAMENTO, AVALIAÇÃO E PRESTAÇÃO DE CO NTAS, A SER REALIZADO NOS DIAS 20 A 22 DE OUTUBRO DE 2025, EM BRASÍLIA-DF COM CARGA TOTAL DE 24 HORAS/AULA., PARA AS SERVIDORAS DESTA SEFIN FRANCISCA EMILE"&amp;"NE DOS SANTOS E MIRLA KELVIA TEIXEIRA BASTOS.</t>
  </si>
  <si>
    <t>ORZIL CONSULTORIA E TREINAMENTO LTDA</t>
  </si>
  <si>
    <t>21545863000114</t>
  </si>
  <si>
    <t>CURSO ORÇAMENTAÇÃO DA COMPRA PUBLICA, ELABORAÇÃO DA PESQUISA DE PREÇOS E SUAS NUANCES COM AUXILIO DA INTELIGÊNCIA ARTIFICIAL, PRESENCIAL, EM FORTALEZA, NPO PERIODO DE 05 A 07/11/2025, CARGA HORARIA 24 HORAS, PARA SERVIDORES: ELIANE MARIA TAVARES DE O"&amp;"LIVEIRA E FRANCISCO DYEGO VIEIRA RABELO .</t>
  </si>
  <si>
    <t xml:space="preserve">Lei n° 14.133/2021, Art. 74 </t>
  </si>
  <si>
    <t>BLS EMPREENDIMENTOS &amp; PARTICIPAÇOES LTDA</t>
  </si>
  <si>
    <t>46828259000126</t>
  </si>
  <si>
    <t>HM EMPREENDIMENTOS E CONSTRUÇOES LTDA</t>
  </si>
  <si>
    <t>27383745000133</t>
  </si>
  <si>
    <t>339093 - 25 - 2333.27</t>
  </si>
  <si>
    <t>ATITUDE EMPREENDIMENTOS LTDA</t>
  </si>
  <si>
    <t>7798191000128</t>
  </si>
  <si>
    <t>EMPENHO REF. FORNECIMENTO DE 04 (QUATRO) LICENÇAS DE ACESSO À PLATAFORMA 4LINUX, PELO PERÍODO DE 12 (DOZE) MESES, DESTINADAS À CAPACITAÇÃO DE SERVIDORES DA SETIN, POR INEXIGIBILIDADE DE LICITAÇÃO, CONF. ORDEM DE SERVIÇO 012/2025/SETIN.</t>
  </si>
  <si>
    <t>4LINUX SOFTWARE E COMERCIO DE PROG LTDA</t>
  </si>
  <si>
    <t>4491152000195</t>
  </si>
  <si>
    <t>EMPENHO REF. 02 (DUAS) INSCRIÇÕES NO CURSO IMERSÃO EM APURAÇÃO DE INFRAÇÕES E APLICAÇÃO DE SANÇÕES, NO FORMATO PRESENCIAL, NO RIO DE JANEIRO-RJ, NO PERÍODO DE 26 A 28.11.2025, COM CARGA HORÁRIA TOTAL DE 21H/A, POR MEIO DE INEXIGIBILIDADE DE LICITAÇÃO"&amp;", CONF. ORDEM DE SERVIÇO S/N/2025/ESMP.PARTICIPANTES:1 - CAROLINE PONTES ALMEIDA, ANALISTA MINISTERIAL;2 - SANDRA GOMES SOARES, ANALISTA MINISTERIAL.</t>
  </si>
  <si>
    <t>COELHO FARIAS EMPREENDIMENTOS LTDA</t>
  </si>
  <si>
    <t>48400905000185</t>
  </si>
  <si>
    <t>Lei 8.666/93, art. 24, caput.</t>
  </si>
  <si>
    <t>EMPENHO REF. 02 (DUAS) INSCRIÇÕES NO CURSO PLANEJAMENTO DAS CONTRATAÇÕES E FORMAÇÃO DE PREÇOS, PROGRAMADO PARA 30 E 31.10.2025, SENDO PRESENCIAL, EM BRASÍLIA-DF, POR MEIO DE INEXIGIBILIDADE DE LICITAÇÃO, CONF. ORDEM DE SERVIÇO 006/2025/PGJ.PARTICIPAN"&amp;"TES:1 - FRANCISCO DYEGO VIEIRA RABELO, LOTADO NA SEAC;2 - ELIANE MARIA TAVARES DE OLIVEIRA FEITOSA MORAES, TAMBÉM LOTADA NA SEAC.</t>
  </si>
  <si>
    <t>EMPENHO REF. 01 (UMA) INSCRIÇÃO NO CURSO PRESENCIAL ENTENDENDO AS PECULIARIDADES DO EMPENHO DA DESPESA E CLASSIFICAÇÕES ORÇAMENTÁRIAS, PROGRAMADO PARA OS DIAS 10 A 12.11.2025, NO FORMATO PRESENCIAL, EM BRASÍLIA-DF, POR INEXIGIBILIDADE DE LICITAÇÃO, C"&amp;"ONF. AVISO DE CONTRATAÇÃO DIRETA 2015/2025/MPCE E ORDEM DE SERVIÇO 002/2025/ SEFIN.PARTICIPANTE:EMANUEL FERREIRA LIMA, TÉCNICO MINISTERIAL, NÚCLEO DE EMPENHO/SEFIN.</t>
  </si>
  <si>
    <t>EMPENHO REF. AO CURSO AVANÇADO EM INVESTIGAÇÃO DIGITAL, PRESENCIAL, PROGRAMADO PARA 24/11 A 1º/12/2025, EM FORTALEZA-CE, PARA MEMBROS E SERVIDORES DO MPCE, QUE ATUAM NO NATI, POR INEXIGIBILIDADE DE LICITAÇÃO, CONF. ORDEM DE SERVIÇO S/N/2025/ESMP.</t>
  </si>
  <si>
    <t>EMPENHO REF. 01 (UMA) INSCRIÇÃO NO CURSO MASTERCLASS SANÇÕES ADMINISTRATIVAS: DA REGULAMENTAÇÃO À APLICAÇÃO PRÁTICA, PROGRAMADO PARA 27 E 28.11.2025, EM JOÃO PESSOA-PB, COM CARGA HORÁRIA 16H/A, POR MEIO DE INEXIGIBILIDADE DE LICITAÇÃO, CONF. AUTORIZA"&amp;"ÇÃO DE CONTRATAÇÃO DIRETA 214/2025 E ORDEM DE SERVIÇO S/N/2025/PGJ.PARTICIPANTE:FRANCISCO SAMIR BARROS LEAL REIS ALVESTÉCNICO MINISTERIAL - MATRÍCULA: 218215-1-9  LOTAÇÃO: AJAC.</t>
  </si>
  <si>
    <t>10498974000109</t>
  </si>
  <si>
    <t>Lei 8.666/93, art. 25, I.</t>
  </si>
  <si>
    <t>NP TECNOLOGIA E GESTAO DE DADOS LTDA</t>
  </si>
  <si>
    <t>7797967000195</t>
  </si>
  <si>
    <t>LOCAÇÃO DE MÁQUINA DE DANÇA(JUST DANCE) POR DISPENSA DE LICITAÇÃO N  032/2025 PARA 2 INTEGRA ESTAGIÁRIOS E RESIDENTES 360 DO MP-CE, E CONFORME RECONHECIMENTO DE DÍVIDA 032/2025.</t>
  </si>
  <si>
    <t>339039 - 14 - 2210.68</t>
  </si>
  <si>
    <t>TA EM TODAS AGENCIA DE MARKETING LTDA</t>
  </si>
  <si>
    <t>20910273000180</t>
  </si>
  <si>
    <t>LOCAÇÃO DE PLATAFORMA 360 º PARA REALIZAÇÃO DO EVENTO INTITULADO 2º INTEGRA ESTAGIÁRIOS E RESIDENTES 360º DO MPCE . DISPENSA DE LICITAÇÃO 029/2025.</t>
  </si>
  <si>
    <t>ESPELHO CONVEXO 60 CM COM SUPORTE DE FIXAÇÃO, MARCA VISION CONFORE DISPENSA ELETRÔNICA 017/2025, ORDEM DE COMPRA 097/2025</t>
  </si>
  <si>
    <t>TORRÃO EQUIPAMENTOS E ACESSORIOS LTDA</t>
  </si>
  <si>
    <t>51976343000127</t>
  </si>
  <si>
    <t>qcq</t>
  </si>
  <si>
    <t>SERVIÇOS DE ÀGUA DE GRANJA-CE REFERENTE AO M~ES DE DEZEMBRO DE 2025</t>
  </si>
  <si>
    <t>Lei n° 14.133/2021, Art. 75 DISPENSA ELETRONICA 030/2025</t>
  </si>
  <si>
    <t>SERVIÇO DE INSPEÇÃO PREDIAL COM LAUDO TÉCNICO, DIAGNÓSTICO E RECOMENDAÇÕES DA SEDE DAS PROMOTORIAS SE SÃO GONÇALO DO AMARANTE, CONFORME ORDEM DE SERVIÇO 06/2025, DISPENSA ELETRONICA 030/2025.</t>
  </si>
  <si>
    <t>FREIRES ENGENHARIA LTDA</t>
  </si>
  <si>
    <t>60366090000160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</si>
</sst>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9"/>
      <name val="Arial"/>
      <family val="2"/>
    </font>
    <font>
      <u/>
      <sz val="11"/>
      <color theme="10"/>
      <name val="Calibri"/>
      <family val="2"/>
      <scheme val="minor"/>
    </font>
    <font>
      <sz val="10"/>
      <color rgb="FF000000"/>
      <name val="Arial"/>
      <family val="2"/>
      <charset val="1"/>
    </font>
    <font>
      <sz val="8"/>
      <name val="Arial"/>
      <family val="2"/>
    </font>
    <font>
      <u/>
      <sz val="8"/>
      <color theme="10"/>
      <name val="Arial"/>
      <family val="2"/>
    </font>
    <font>
      <sz val="10"/>
      <name val="Arial"/>
      <family val="2"/>
    </font>
    <font>
      <u/>
      <sz val="10"/>
      <color theme="10"/>
      <name val="Arial"/>
      <family val="2"/>
    </font>
    <font>
      <sz val="8"/>
      <name val="Calibri"/>
      <family val="2"/>
      <scheme val="minor"/>
    </font>
  </fonts>
  <fills count="4">
    <fill>
      <patternFill patternType="none"/>
    </fill>
    <fill>
      <patternFill patternType="gray125"/>
    </fill>
    <fill>
      <patternFill patternType="solid">
        <fgColor rgb="FFFFFF00"/>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justifyLastLine="1"/>
    </xf>
    <xf numFmtId="0" fontId="4" fillId="0" borderId="1" xfId="0" applyFont="1" applyBorder="1" applyAlignment="1">
      <alignment horizontal="center" vertical="center" wrapText="1" justifyLastLine="1"/>
    </xf>
    <xf numFmtId="0" fontId="5" fillId="0" borderId="1" xfId="1" applyFont="1" applyBorder="1" applyAlignment="1">
      <alignment horizontal="center" vertical="center" wrapText="1" justifyLastLine="1"/>
    </xf>
    <xf numFmtId="14" fontId="4" fillId="0" borderId="1" xfId="0" applyNumberFormat="1" applyFont="1" applyBorder="1" applyAlignment="1">
      <alignment horizontal="center" vertical="center" wrapText="1" justifyLastLine="1"/>
    </xf>
    <xf numFmtId="0" fontId="7" fillId="0" borderId="1" xfId="1" applyFont="1" applyBorder="1" applyAlignment="1" applyProtection="1">
      <alignment horizontal="center" vertical="center"/>
    </xf>
    <xf numFmtId="4" fontId="3" fillId="3" borderId="1" xfId="0" applyNumberFormat="1" applyFont="1" applyFill="1" applyBorder="1" applyAlignment="1">
      <alignment horizontal="right" vertical="center"/>
    </xf>
    <xf numFmtId="0" fontId="3" fillId="0" borderId="1" xfId="0" applyFont="1" applyBorder="1" applyAlignment="1">
      <alignment horizontal="left" vertical="center" wrapText="1"/>
    </xf>
    <xf numFmtId="0" fontId="0" fillId="0" borderId="0" xfId="0" applyAlignment="1">
      <alignment wrapText="1"/>
    </xf>
    <xf numFmtId="49" fontId="1" fillId="2" borderId="1" xfId="0" applyNumberFormat="1" applyFont="1" applyFill="1" applyBorder="1" applyAlignment="1">
      <alignment horizontal="center" vertical="center" wrapText="1" justifyLastLine="1"/>
    </xf>
    <xf numFmtId="49" fontId="3" fillId="0" borderId="1" xfId="0" applyNumberFormat="1" applyFont="1" applyBorder="1" applyAlignment="1">
      <alignment horizontal="right" vertical="center" wrapText="1"/>
    </xf>
    <xf numFmtId="49" fontId="0" fillId="0" borderId="0" xfId="0" applyNumberFormat="1"/>
    <xf numFmtId="0" fontId="3" fillId="0" borderId="1" xfId="0" applyFont="1" applyBorder="1" applyAlignment="1">
      <alignment vertical="center" wrapText="1"/>
    </xf>
    <xf numFmtId="4" fontId="0" fillId="0" borderId="0" xfId="0" applyNumberFormat="1"/>
    <xf numFmtId="0" fontId="2" fillId="0" borderId="1" xfId="1" applyBorder="1" applyAlignment="1" applyProtection="1">
      <alignment horizontal="center" vertical="center"/>
    </xf>
    <xf numFmtId="0" fontId="1" fillId="2" borderId="1" xfId="0" applyFont="1" applyFill="1" applyBorder="1" applyAlignment="1">
      <alignment horizontal="center" vertical="center" wrapText="1"/>
    </xf>
    <xf numFmtId="14" fontId="6" fillId="0" borderId="1" xfId="0" applyNumberFormat="1" applyFont="1" applyBorder="1" applyAlignment="1">
      <alignment horizontal="justify" vertical="center" wrapText="1"/>
    </xf>
    <xf numFmtId="14" fontId="2" fillId="0" borderId="1" xfId="1" applyNumberFormat="1" applyBorder="1" applyAlignment="1">
      <alignment horizontal="justify" vertical="center" wrapText="1"/>
    </xf>
    <xf numFmtId="0" fontId="0" fillId="0" borderId="0" xfId="0" applyAlignment="1">
      <alignment horizontal="justify"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461D-646D-4E3D-8EEA-F1F2D9B59514}">
  <dimension ref="A1:X1190"/>
  <sheetViews>
    <sheetView tabSelected="1" topLeftCell="E1" workbookViewId="0">
      <selection activeCell="E1" sqref="E1:E1048576"/>
    </sheetView>
  </sheetViews>
  <sheetFormatPr defaultRowHeight="15" x14ac:dyDescent="0.25"/>
  <cols>
    <col min="1" max="1" width="21" style="8" customWidth="1"/>
    <col min="2" max="2" width="26.140625" style="8" customWidth="1"/>
    <col min="3" max="3" width="23.140625" customWidth="1"/>
    <col min="4" max="4" width="22.7109375" customWidth="1"/>
    <col min="5" max="5" width="58" style="18" customWidth="1"/>
    <col min="6" max="6" width="24.7109375" customWidth="1"/>
    <col min="7" max="7" width="18.7109375" customWidth="1"/>
    <col min="8" max="8" width="18" customWidth="1"/>
    <col min="9" max="9" width="30" style="8" customWidth="1"/>
    <col min="10" max="10" width="23.85546875" style="11" customWidth="1"/>
    <col min="11" max="24" width="9.140625" hidden="1" customWidth="1"/>
    <col min="25" max="28" width="0" hidden="1" customWidth="1"/>
  </cols>
  <sheetData>
    <row r="1" spans="1:10" ht="24" x14ac:dyDescent="0.25">
      <c r="A1" s="1" t="s">
        <v>0</v>
      </c>
      <c r="B1" s="1" t="s">
        <v>1</v>
      </c>
      <c r="C1" s="1" t="s">
        <v>2</v>
      </c>
      <c r="D1" s="1" t="s">
        <v>3</v>
      </c>
      <c r="E1" s="15" t="s">
        <v>772</v>
      </c>
      <c r="F1" s="1" t="s">
        <v>4</v>
      </c>
      <c r="G1" s="1" t="s">
        <v>5</v>
      </c>
      <c r="H1" s="1" t="s">
        <v>6</v>
      </c>
      <c r="I1" s="1" t="s">
        <v>7</v>
      </c>
      <c r="J1" s="9" t="s">
        <v>8</v>
      </c>
    </row>
    <row r="2" spans="1:10" x14ac:dyDescent="0.25">
      <c r="A2" s="1" t="s">
        <v>9</v>
      </c>
      <c r="B2" s="1" t="s">
        <v>10</v>
      </c>
      <c r="C2" s="1" t="s">
        <v>11</v>
      </c>
      <c r="D2" s="1" t="s">
        <v>12</v>
      </c>
      <c r="E2" s="15" t="s">
        <v>13</v>
      </c>
      <c r="F2" s="1" t="s">
        <v>14</v>
      </c>
      <c r="G2" s="1" t="s">
        <v>15</v>
      </c>
      <c r="H2" s="1" t="s">
        <v>16</v>
      </c>
      <c r="I2" s="1" t="s">
        <v>17</v>
      </c>
      <c r="J2" s="9" t="s">
        <v>18</v>
      </c>
    </row>
    <row r="3" spans="1:10" x14ac:dyDescent="0.25">
      <c r="A3" s="12" t="s">
        <v>159</v>
      </c>
      <c r="B3" s="2" t="s">
        <v>612</v>
      </c>
      <c r="C3" s="3" t="str">
        <f>HYPERLINK("https://transparencia-area-fim.mpce.mp.br/#/consulta/processo/pastadigital/092025000218732","09.2025.00021873-2")</f>
        <v>09.2025.00021873-2</v>
      </c>
      <c r="D3" s="4">
        <v>45883</v>
      </c>
      <c r="E3" s="16" t="str">
        <f>HYPERLINK("https://www8.mpce.mp.br/Empenhos/150001/Objeto/25 FDID.pdf","CURSO BASIS VISANDO A CAPACITAÇÃO DE GESTORES DE ORGANIZAÇÕES DA SOCIEDADE CIVIL COM ENFOQUE NO MONITORAMENTO DE PROJETOS APROVADOS PELO FDID. COMPREENDEM ABERTURA,ESPECIALIZAÇÃ"&amp;"O ON LINE DAS TURMAS DE 01 A 04 E PALESTRA DE ENCERRAMENTO.")</f>
        <v>CURSO BASIS VISANDO A CAPACITAÇÃO DE GESTORES DE ORGANIZAÇÕES DA SOCIEDADE CIVIL COM ENFOQUE NO MONITORAMENTO DE PROJETOS APROVADOS PELO FDID. COMPREENDEM ABERTURA,ESPECIALIZAÇÃO ON LINE DAS TURMAS DE 01 A 04 E PALESTRA DE ENCERRAMENTO.</v>
      </c>
      <c r="F3" s="2" t="s">
        <v>352</v>
      </c>
      <c r="G3" s="5" t="str">
        <f>HYPERLINK("https://siafe.sefaz.ce.gov.br/Siafe/downloadSignature?token=00d231064679446b83d2cff7acbc2acc","2025NE000004")</f>
        <v>2025NE000004</v>
      </c>
      <c r="H3" s="6">
        <v>757000</v>
      </c>
      <c r="I3" s="7" t="s">
        <v>613</v>
      </c>
      <c r="J3" s="10" t="s">
        <v>614</v>
      </c>
    </row>
    <row r="4" spans="1:10" x14ac:dyDescent="0.25">
      <c r="A4" s="12" t="s">
        <v>19</v>
      </c>
      <c r="B4" s="2" t="s">
        <v>122</v>
      </c>
      <c r="C4" s="3" t="str">
        <f>HYPERLINK("http://www8.mpce.mp.br/Dispensa/4503020176.pdf","45030/2017-6")</f>
        <v>45030/2017-6</v>
      </c>
      <c r="D4" s="4">
        <v>45681</v>
      </c>
      <c r="E4" s="16" t="str">
        <f>HYPERLINK("https://www8.mpce.mp.br/Empenhos/150001/Objeto/74-2019.pdf","EMPENHO DOS ALUGUÉIS DOS MÊS DE JANEIRO DE 2025, REF. AO IMÓVEL ONDE FUNCIONAM PROMOTORIAS DE JUSTIÇA DA COMARCA DE GRANJA, COF. CONTRATO N º 074/2019.")</f>
        <v>EMPENHO DOS ALUGUÉIS DOS MÊS DE JANEIRO DE 2025, REF. AO IMÓVEL ONDE FUNCIONAM PROMOTORIAS DE JUSTIÇA DA COMARCA DE GRANJA, COF. CONTRATO N º 074/2019.</v>
      </c>
      <c r="F4" s="2" t="s">
        <v>31</v>
      </c>
      <c r="G4" s="5" t="str">
        <f>HYPERLINK("http://www8.mpce.mp.br/Empenhos/150501/NE/2025NE000005.pdf","2025NE000005")</f>
        <v>2025NE000005</v>
      </c>
      <c r="H4" s="6">
        <v>2188.0100000000002</v>
      </c>
      <c r="I4" s="7" t="s">
        <v>95</v>
      </c>
      <c r="J4" s="10" t="s">
        <v>96</v>
      </c>
    </row>
    <row r="5" spans="1:10" x14ac:dyDescent="0.25">
      <c r="A5" s="12" t="s">
        <v>19</v>
      </c>
      <c r="B5" s="2" t="s">
        <v>123</v>
      </c>
      <c r="C5" s="3" t="str">
        <f>HYPERLINK("http://www8.mpce.mp.br/Dispensa/2150720189.pdf","21507/2018-9")</f>
        <v>21507/2018-9</v>
      </c>
      <c r="D5" s="4">
        <v>45681</v>
      </c>
      <c r="E5" s="16" t="str">
        <f>HYPERLINK("https://www8.mpce.mp.br/Empenhos/150001/Objeto/51-2019.pdf","EMPENHO DOS ALUGUÉIS DOS MÊS DE JANEIRO DE 2025, REF. AO IMÓVEL ONDE FUNCIONAM AS PROMOTORIAS DE JUSTIÇA DA COMARCA VIÇOSA DO CEARÁ, CONF. CONTRATO Nº 051/2019.")</f>
        <v>EMPENHO DOS ALUGUÉIS DOS MÊS DE JANEIRO DE 2025, REF. AO IMÓVEL ONDE FUNCIONAM AS PROMOTORIAS DE JUSTIÇA DA COMARCA VIÇOSA DO CEARÁ, CONF. CONTRATO Nº 051/2019.</v>
      </c>
      <c r="F5" s="2" t="s">
        <v>31</v>
      </c>
      <c r="G5" s="5" t="str">
        <f>HYPERLINK("http://www8.mpce.mp.br/Empenhos/150501/NE/2025NE000006.pdf","2025NE000006")</f>
        <v>2025NE000006</v>
      </c>
      <c r="H5" s="6">
        <v>2935.71</v>
      </c>
      <c r="I5" s="7" t="s">
        <v>98</v>
      </c>
      <c r="J5" s="10" t="s">
        <v>102</v>
      </c>
    </row>
    <row r="6" spans="1:10" x14ac:dyDescent="0.25">
      <c r="A6" s="12" t="s">
        <v>19</v>
      </c>
      <c r="B6" s="2" t="s">
        <v>124</v>
      </c>
      <c r="C6" s="3" t="str">
        <f>HYPERLINK("http://www8.mpce.mp.br/Dispensa/1320920133.pdf","13209/2013-3")</f>
        <v>13209/2013-3</v>
      </c>
      <c r="D6" s="4">
        <v>45681</v>
      </c>
      <c r="E6" s="16" t="str">
        <f>HYPERLINK("https://www8.mpce.mp.br/Empenhos/150001/Objeto/43-2013.pdf","EMPENHO DOS ALUGUÉIS DOS MÊS DE JANEIRO DE 2025, REF. AO IMÓVEL ONDE FUNCIONAM AS PROMOTORIAS DE JUSTIÇA DA COMARCA DE MORADA NOVA.")</f>
        <v>EMPENHO DOS ALUGUÉIS DOS MÊS DE JANEIRO DE 2025, REF. AO IMÓVEL ONDE FUNCIONAM AS PROMOTORIAS DE JUSTIÇA DA COMARCA DE MORADA NOVA.</v>
      </c>
      <c r="F6" s="2" t="s">
        <v>31</v>
      </c>
      <c r="G6" s="5" t="str">
        <f>HYPERLINK("http://www8.mpce.mp.br/Empenhos/150501/NE/2025NE000007.pdf","2025NE000007")</f>
        <v>2025NE000007</v>
      </c>
      <c r="H6" s="6">
        <v>8150.28</v>
      </c>
      <c r="I6" s="7" t="s">
        <v>62</v>
      </c>
      <c r="J6" s="10" t="s">
        <v>63</v>
      </c>
    </row>
    <row r="7" spans="1:10" x14ac:dyDescent="0.25">
      <c r="A7" s="12" t="s">
        <v>19</v>
      </c>
      <c r="B7" s="2" t="s">
        <v>125</v>
      </c>
      <c r="C7" s="3" t="str">
        <f>HYPERLINK("http://www8.mpce.mp.br/Dispensa/146020136.pdf","1460/2013-6")</f>
        <v>1460/2013-6</v>
      </c>
      <c r="D7" s="4">
        <v>45681</v>
      </c>
      <c r="E7" s="16" t="str">
        <f>HYPERLINK("https://www8.mpce.mp.br/Empenhos/150001/Objeto/39-2013.pdf","EMPENHO DOS ALUGUÉIS DOS MÊS DE JANEIRO DE 2025, REF. AO IMÓVEL ONDE FUNCIONAM AS PROMOTORIAS DE JUSTIÇA DA COMARCA DE CASCAVEL, COMF. CONTRATO Nº 039/2013.")</f>
        <v>EMPENHO DOS ALUGUÉIS DOS MÊS DE JANEIRO DE 2025, REF. AO IMÓVEL ONDE FUNCIONAM AS PROMOTORIAS DE JUSTIÇA DA COMARCA DE CASCAVEL, COMF. CONTRATO Nº 039/2013.</v>
      </c>
      <c r="F7" s="2" t="s">
        <v>31</v>
      </c>
      <c r="G7" s="5" t="str">
        <f>HYPERLINK("http://www8.mpce.mp.br/Empenhos/150501/NE/2025NE000008.pdf","2025NE000008")</f>
        <v>2025NE000008</v>
      </c>
      <c r="H7" s="6">
        <v>4341.5600000000004</v>
      </c>
      <c r="I7" s="7" t="s">
        <v>88</v>
      </c>
      <c r="J7" s="10" t="s">
        <v>89</v>
      </c>
    </row>
    <row r="8" spans="1:10" x14ac:dyDescent="0.25">
      <c r="A8" s="12" t="s">
        <v>19</v>
      </c>
      <c r="B8" s="2" t="s">
        <v>126</v>
      </c>
      <c r="C8" s="3" t="str">
        <f>HYPERLINK("http://www8.mpce.mp.br/Dispensa/575920103.pdf","5759/2010-3")</f>
        <v>5759/2010-3</v>
      </c>
      <c r="D8" s="4">
        <v>45681</v>
      </c>
      <c r="E8" s="16" t="str">
        <f>HYPERLINK("https://www8.mpce.mp.br/Empenhos/150001/Objeto/22-2010.pdf","EMPENHO DOS ALUGUÉIS DOS MÊS DE JANEIRO DE 2025, REF. AO IMÓVEL ONDE FUNCIONAM AS PROMOTORIAS DE JUSTIÇA DA COMARCA DE GUAIUBA, CONF. CONTRATO Nº 022/2010.")</f>
        <v>EMPENHO DOS ALUGUÉIS DOS MÊS DE JANEIRO DE 2025, REF. AO IMÓVEL ONDE FUNCIONAM AS PROMOTORIAS DE JUSTIÇA DA COMARCA DE GUAIUBA, CONF. CONTRATO Nº 022/2010.</v>
      </c>
      <c r="F8" s="2" t="s">
        <v>31</v>
      </c>
      <c r="G8" s="5" t="str">
        <f>HYPERLINK("http://www8.mpce.mp.br/Empenhos/150501/NE/2025NE000009.pdf","2025NE000009")</f>
        <v>2025NE000009</v>
      </c>
      <c r="H8" s="6">
        <v>2341.9699999999998</v>
      </c>
      <c r="I8" s="7" t="s">
        <v>86</v>
      </c>
      <c r="J8" s="10" t="s">
        <v>87</v>
      </c>
    </row>
    <row r="9" spans="1:10" x14ac:dyDescent="0.25">
      <c r="A9" s="12" t="s">
        <v>19</v>
      </c>
      <c r="B9" s="2" t="s">
        <v>127</v>
      </c>
      <c r="C9" s="3" t="str">
        <f>HYPERLINK("http://www8.mpce.mp.br/Dispensa/6795020160.pdf","6795020160")</f>
        <v>6795020160</v>
      </c>
      <c r="D9" s="4">
        <v>45681</v>
      </c>
      <c r="E9" s="16" t="str">
        <f>HYPERLINK("https://www8.mpce.mp.br/Empenhos/150001/Objeto/08-2017.pdf","EMPENHO DOS ALUGUÉIS DOS MÊS DE JANEIRO DE 2025, REF. AO IMÓVEL ONDE FUNCIONAM AS PROMOTORIAS DE JUSTIÇA DA COMARCA DE JARDIM, CONF. CONTRATO Nº 008/2017.")</f>
        <v>EMPENHO DOS ALUGUÉIS DOS MÊS DE JANEIRO DE 2025, REF. AO IMÓVEL ONDE FUNCIONAM AS PROMOTORIAS DE JUSTIÇA DA COMARCA DE JARDIM, CONF. CONTRATO Nº 008/2017.</v>
      </c>
      <c r="F9" s="2" t="s">
        <v>31</v>
      </c>
      <c r="G9" s="5" t="str">
        <f>HYPERLINK("http://www8.mpce.mp.br/Empenhos/150501/NE/2025NE000010.pdf","2025NE000010")</f>
        <v>2025NE000010</v>
      </c>
      <c r="H9" s="6">
        <v>680.03</v>
      </c>
      <c r="I9" s="7" t="s">
        <v>99</v>
      </c>
      <c r="J9" s="10" t="s">
        <v>128</v>
      </c>
    </row>
    <row r="10" spans="1:10" x14ac:dyDescent="0.25">
      <c r="A10" s="12" t="s">
        <v>19</v>
      </c>
      <c r="B10" s="2" t="s">
        <v>129</v>
      </c>
      <c r="C10" s="3" t="str">
        <f>HYPERLINK("https://transparencia-area-fim.mpce.mp.br/#/consulta/processo/pastadigital/092022000343795","09.2022.00034379-5")</f>
        <v>09.2022.00034379-5</v>
      </c>
      <c r="D10" s="4">
        <v>45681</v>
      </c>
      <c r="E10" s="16" t="str">
        <f>HYPERLINK("https://www8.mpce.mp.br/Empenhos/150001/Objeto/25-2023.pdf","EMPENHO DOS ALUGUÉIS DOS MÊS DE JANEIRO DE 2025, REF. AO IMÓVEL ONDE FUNCIONAM AS PROMOTORIAS DE JUSTIÇA DA COMARCA DE CANINDÉ, CONF. CONTRATO Nº 025/2023.")</f>
        <v>EMPENHO DOS ALUGUÉIS DOS MÊS DE JANEIRO DE 2025, REF. AO IMÓVEL ONDE FUNCIONAM AS PROMOTORIAS DE JUSTIÇA DA COMARCA DE CANINDÉ, CONF. CONTRATO Nº 025/2023.</v>
      </c>
      <c r="F10" s="2" t="s">
        <v>130</v>
      </c>
      <c r="G10" s="5" t="str">
        <f>HYPERLINK("http://www8.mpce.mp.br/Empenhos/150501/NE/2025NE000011.pdf","2025NE000011")</f>
        <v>2025NE000011</v>
      </c>
      <c r="H10" s="6">
        <v>14000</v>
      </c>
      <c r="I10" s="7" t="s">
        <v>101</v>
      </c>
      <c r="J10" s="10" t="s">
        <v>131</v>
      </c>
    </row>
    <row r="11" spans="1:10" x14ac:dyDescent="0.25">
      <c r="A11" s="12" t="s">
        <v>19</v>
      </c>
      <c r="B11" s="2" t="s">
        <v>132</v>
      </c>
      <c r="C11" s="3" t="str">
        <f>HYPERLINK("https://transparencia-area-fim.mpce.mp.br/#/consulta/processo/pastadigital/092022000343818","09.2022.00034381-8")</f>
        <v>09.2022.00034381-8</v>
      </c>
      <c r="D11" s="4">
        <v>45681</v>
      </c>
      <c r="E11" s="16" t="str">
        <f>HYPERLINK("https://www8.mpce.mp.br/Empenhos/150001/Objeto/24-2023.pdf","EMPENHO DOS ALUGUÉIS DOS MÊS DE JANEIRO DE 2025, REF. AO IMÓVEL ONDE FUNCIONAM AS PROMOTORIAS DE JUSTIÇA DA COMARCA DE ITAPIPOCA, CONF. CONTRATO Nº 024/2023.")</f>
        <v>EMPENHO DOS ALUGUÉIS DOS MÊS DE JANEIRO DE 2025, REF. AO IMÓVEL ONDE FUNCIONAM AS PROMOTORIAS DE JUSTIÇA DA COMARCA DE ITAPIPOCA, CONF. CONTRATO Nº 024/2023.</v>
      </c>
      <c r="F11" s="2" t="s">
        <v>130</v>
      </c>
      <c r="G11" s="5" t="str">
        <f>HYPERLINK("http://www8.mpce.mp.br/Empenhos/150501/NE/2025NE000013.pdf","2025NE000013")</f>
        <v>2025NE000013</v>
      </c>
      <c r="H11" s="6">
        <v>18000</v>
      </c>
      <c r="I11" s="7" t="s">
        <v>79</v>
      </c>
      <c r="J11" s="10" t="s">
        <v>133</v>
      </c>
    </row>
    <row r="12" spans="1:10" x14ac:dyDescent="0.25">
      <c r="A12" s="12" t="s">
        <v>19</v>
      </c>
      <c r="B12" s="2" t="s">
        <v>134</v>
      </c>
      <c r="C12" s="3" t="str">
        <f>HYPERLINK("https://transparencia-area-fim.mpce.mp.br/#/consulta/processo/pastadigital/092022000343829","09.2022.00034382-9")</f>
        <v>09.2022.00034382-9</v>
      </c>
      <c r="D12" s="4">
        <v>45681</v>
      </c>
      <c r="E12" s="16" t="str">
        <f>HYPERLINK("https://www8.mpce.mp.br/Empenhos/150001/Objeto/10-2023.pdf","EMPENHO DOS ALUGUÉIS DOS MÊS DE JANEIRO DE 2025, REF. AO IMÓVEL ONDE FUNCIONAM AS PROMOTORIAS DE JUSTIÇA DA COMARCA DE ITAPAJÉ, CONF. CONTRATO Nº 010/2023.")</f>
        <v>EMPENHO DOS ALUGUÉIS DOS MÊS DE JANEIRO DE 2025, REF. AO IMÓVEL ONDE FUNCIONAM AS PROMOTORIAS DE JUSTIÇA DA COMARCA DE ITAPAJÉ, CONF. CONTRATO Nº 010/2023.</v>
      </c>
      <c r="F12" s="2" t="s">
        <v>130</v>
      </c>
      <c r="G12" s="5" t="str">
        <f>HYPERLINK("http://www8.mpce.mp.br/Empenhos/150501/NE/2025NE000014.pdf","2025NE000014")</f>
        <v>2025NE000014</v>
      </c>
      <c r="H12" s="6">
        <v>13612</v>
      </c>
      <c r="I12" s="7" t="s">
        <v>23</v>
      </c>
      <c r="J12" s="10" t="s">
        <v>135</v>
      </c>
    </row>
    <row r="13" spans="1:10" x14ac:dyDescent="0.25">
      <c r="A13" s="12" t="s">
        <v>19</v>
      </c>
      <c r="B13" s="2" t="s">
        <v>136</v>
      </c>
      <c r="C13" s="3" t="str">
        <f>HYPERLINK("https://transparencia-area-fim.mpce.mp.br/#/consulta/processo/pastadigital/092022000343751","09.2022.00034375-1")</f>
        <v>09.2022.00034375-1</v>
      </c>
      <c r="D13" s="4">
        <v>45681</v>
      </c>
      <c r="E13" s="16" t="str">
        <f>HYPERLINK("https://www8.mpce.mp.br/Empenhos/150001/Objeto/08-2023.pdf","EMPENHO DOS ALUGUÉIS DOS MÊS DE JANEIRO DE 2025, REF. AO IMÓVEL ONDE FUNCIONAM AS PROMOTORIAS DE JUSTIÇA DA COMARCA DE QUIXERAMOBIM, CONF. CONTRATO Nº 008/2023.")</f>
        <v>EMPENHO DOS ALUGUÉIS DOS MÊS DE JANEIRO DE 2025, REF. AO IMÓVEL ONDE FUNCIONAM AS PROMOTORIAS DE JUSTIÇA DA COMARCA DE QUIXERAMOBIM, CONF. CONTRATO Nº 008/2023.</v>
      </c>
      <c r="F13" s="2" t="s">
        <v>130</v>
      </c>
      <c r="G13" s="5" t="str">
        <f>HYPERLINK("http://www8.mpce.mp.br/Empenhos/150501/NE/2025NE000015.pdf","2025NE000015")</f>
        <v>2025NE000015</v>
      </c>
      <c r="H13" s="6">
        <v>14180</v>
      </c>
      <c r="I13" s="7" t="s">
        <v>23</v>
      </c>
      <c r="J13" s="10" t="s">
        <v>135</v>
      </c>
    </row>
    <row r="14" spans="1:10" x14ac:dyDescent="0.25">
      <c r="A14" s="12" t="s">
        <v>19</v>
      </c>
      <c r="B14" s="2" t="s">
        <v>137</v>
      </c>
      <c r="C14" s="3" t="str">
        <f>HYPERLINK("https://transparencia-area-fim.mpce.mp.br/#/consulta/processo/pastadigital/092022000230870","09.2022.00023087-0")</f>
        <v>09.2022.00023087-0</v>
      </c>
      <c r="D14" s="4">
        <v>45681</v>
      </c>
      <c r="E14" s="16" t="str">
        <f>HYPERLINK("https://www8.mpce.mp.br/Empenhos/150001/Objeto/29-2022.pdf","EMPENHO DOS ALUGUÉIS DOS MÊS DE JANEIRO DE 2025, REF. AO IMÓVEL ONDE FUNCIONAM AS PROMOTORIAS DE JUSTIÇA DA COMARCA DE JUAZEIRO DO NORTE, CONF. CONTRATO Nº 029/2022.")</f>
        <v>EMPENHO DOS ALUGUÉIS DOS MÊS DE JANEIRO DE 2025, REF. AO IMÓVEL ONDE FUNCIONAM AS PROMOTORIAS DE JUSTIÇA DA COMARCA DE JUAZEIRO DO NORTE, CONF. CONTRATO Nº 029/2022.</v>
      </c>
      <c r="F14" s="2" t="s">
        <v>130</v>
      </c>
      <c r="G14" s="5" t="str">
        <f>HYPERLINK("http://www8.mpce.mp.br/Empenhos/150501/NE/2025NE000016.pdf","2025NE000016")</f>
        <v>2025NE000016</v>
      </c>
      <c r="H14" s="6">
        <v>66161.41</v>
      </c>
      <c r="I14" s="7" t="s">
        <v>20</v>
      </c>
      <c r="J14" s="10" t="s">
        <v>138</v>
      </c>
    </row>
    <row r="15" spans="1:10" x14ac:dyDescent="0.25">
      <c r="A15" s="12" t="s">
        <v>19</v>
      </c>
      <c r="B15" s="2" t="s">
        <v>139</v>
      </c>
      <c r="C15" s="3" t="str">
        <f>HYPERLINK("https://transparencia-area-fim.mpce.mp.br/#/consulta/processo/pastadigital/092021000244282","09.2021.00024428-2")</f>
        <v>09.2021.00024428-2</v>
      </c>
      <c r="D15" s="4">
        <v>45681</v>
      </c>
      <c r="E15" s="16" t="str">
        <f>HYPERLINK("https://www8.mpce.mp.br/Empenhos/150001/Objeto/18-2022.pdf","EMPENHO DOS ALUGUÉIS DOS MÊS DE JANEIRO DE 2025, REF. AO IMÓVEL ONDE FUNCIONAM AS PROMOTORIAS DE JUSTIÇA DA COMARCA DE CRATEÚS, CONF. CONTRATO Nº 018/2022.")</f>
        <v>EMPENHO DOS ALUGUÉIS DOS MÊS DE JANEIRO DE 2025, REF. AO IMÓVEL ONDE FUNCIONAM AS PROMOTORIAS DE JUSTIÇA DA COMARCA DE CRATEÚS, CONF. CONTRATO Nº 018/2022.</v>
      </c>
      <c r="F15" s="2" t="s">
        <v>130</v>
      </c>
      <c r="G15" s="5" t="str">
        <f>HYPERLINK("http://www8.mpce.mp.br/Empenhos/150501/NE/2025NE000017.pdf","2025NE000017")</f>
        <v>2025NE000017</v>
      </c>
      <c r="H15" s="6">
        <v>26000.1</v>
      </c>
      <c r="I15" s="7" t="s">
        <v>21</v>
      </c>
      <c r="J15" s="10" t="s">
        <v>140</v>
      </c>
    </row>
    <row r="16" spans="1:10" x14ac:dyDescent="0.25">
      <c r="A16" s="12" t="s">
        <v>19</v>
      </c>
      <c r="B16" s="2" t="s">
        <v>141</v>
      </c>
      <c r="C16" s="3" t="str">
        <f>HYPERLINK("https://transparencia-area-fim.mpce.mp.br/#/consulta/processo/pastadigital/092021000244271","09.2021.00024427-1")</f>
        <v>09.2021.00024427-1</v>
      </c>
      <c r="D16" s="4">
        <v>45681</v>
      </c>
      <c r="E16" s="16" t="str">
        <f>HYPERLINK("https://www8.mpce.mp.br/Empenhos/150001/Objeto/17-2022.pdf","EMPENHO DOS ALUGUÉIS DOS MÊS DE JANEIRO DE 2025, REF. AO IMÓVEL ONDE FUNCIONAM AS PROMOTORIAS DE JUSTIÇA DA COMARCA DE TIANGUÁ, CONF. CONTRATO Nº 017/2022.")</f>
        <v>EMPENHO DOS ALUGUÉIS DOS MÊS DE JANEIRO DE 2025, REF. AO IMÓVEL ONDE FUNCIONAM AS PROMOTORIAS DE JUSTIÇA DA COMARCA DE TIANGUÁ, CONF. CONTRATO Nº 017/2022.</v>
      </c>
      <c r="F16" s="2" t="s">
        <v>130</v>
      </c>
      <c r="G16" s="5" t="str">
        <f>HYPERLINK("http://www8.mpce.mp.br/Empenhos/150501/NE/2025NE000018.pdf","2025NE000018")</f>
        <v>2025NE000018</v>
      </c>
      <c r="H16" s="6">
        <v>26000</v>
      </c>
      <c r="I16" s="7" t="s">
        <v>22</v>
      </c>
      <c r="J16" s="10" t="s">
        <v>142</v>
      </c>
    </row>
    <row r="17" spans="1:10" x14ac:dyDescent="0.25">
      <c r="A17" s="12" t="s">
        <v>19</v>
      </c>
      <c r="B17" s="2" t="s">
        <v>143</v>
      </c>
      <c r="C17" s="3" t="str">
        <f>HYPERLINK("https://transparencia-area-fim.mpce.mp.br/#/consulta/processo/pastadigital/092022000081432","09.2022.00008143-2")</f>
        <v>09.2022.00008143-2</v>
      </c>
      <c r="D17" s="4">
        <v>45681</v>
      </c>
      <c r="E17" s="16" t="str">
        <f>HYPERLINK("https://www8.mpce.mp.br/Empenhos/150001/Objeto/16-2022.pdf","EMPENHO DO ALUGUEL DOS MESES DE JANEIRO DE 2025 DO IMÓVEL ONDE FUNCIONAM AS PROMOTORIAS DE JUSTIÇA DA COMARCA DE BARBALHA, CONF. CONTRATO Nº 016/2022, REF. AO MÊS DE JANEIRO DE "&amp;"2025.")</f>
        <v>EMPENHO DO ALUGUEL DOS MESES DE JANEIRO DE 2025 DO IMÓVEL ONDE FUNCIONAM AS PROMOTORIAS DE JUSTIÇA DA COMARCA DE BARBALHA, CONF. CONTRATO Nº 016/2022, REF. AO MÊS DE JANEIRO DE 2025.</v>
      </c>
      <c r="F17" s="2" t="s">
        <v>130</v>
      </c>
      <c r="G17" s="5" t="str">
        <f>HYPERLINK("http://www8.mpce.mp.br/Empenhos/150501/NE/2025NE000024.pdf","2025NE000024")</f>
        <v>2025NE000024</v>
      </c>
      <c r="H17" s="6">
        <v>16434.259999999998</v>
      </c>
      <c r="I17" s="7" t="s">
        <v>20</v>
      </c>
      <c r="J17" s="10" t="s">
        <v>138</v>
      </c>
    </row>
    <row r="18" spans="1:10" x14ac:dyDescent="0.25">
      <c r="A18" s="12" t="s">
        <v>19</v>
      </c>
      <c r="B18" s="2" t="s">
        <v>144</v>
      </c>
      <c r="C18" s="3" t="str">
        <f>HYPERLINK("https://transparencia-area-fim.mpce.mp.br/#/consulta/processo/pastadigital/092021000244449","09.2021.00024444-9")</f>
        <v>09.2021.00024444-9</v>
      </c>
      <c r="D18" s="4">
        <v>45681</v>
      </c>
      <c r="E18" s="16" t="str">
        <f>HYPERLINK("https://www8.mpce.mp.br/Empenhos/150001/Objeto/12-2022.pdf","EMPENHO DO ALUGUEL DO MÊS DE JANEIRO DE 2025 DO IMÓVEL ONDE FUNCIONAM AS PROMOTORIAS DE JUSTIÇA DA COMARCA DE RUSSAS, CONF. CONTRATO Nº 012/2022.")</f>
        <v>EMPENHO DO ALUGUEL DO MÊS DE JANEIRO DE 2025 DO IMÓVEL ONDE FUNCIONAM AS PROMOTORIAS DE JUSTIÇA DA COMARCA DE RUSSAS, CONF. CONTRATO Nº 012/2022.</v>
      </c>
      <c r="F18" s="2" t="s">
        <v>130</v>
      </c>
      <c r="G18" s="5" t="str">
        <f>HYPERLINK("http://www8.mpce.mp.br/Empenhos/150501/NE/2025NE000025.pdf","2025NE000025")</f>
        <v>2025NE000025</v>
      </c>
      <c r="H18" s="6">
        <v>20900</v>
      </c>
      <c r="I18" s="7" t="s">
        <v>23</v>
      </c>
      <c r="J18" s="10" t="s">
        <v>135</v>
      </c>
    </row>
    <row r="19" spans="1:10" x14ac:dyDescent="0.25">
      <c r="A19" s="12" t="s">
        <v>19</v>
      </c>
      <c r="B19" s="2" t="s">
        <v>145</v>
      </c>
      <c r="C19" s="3" t="str">
        <f>HYPERLINK("https://transparencia-area-fim.mpce.mp.br/#/consulta/processo/pastadigital/092021000244582","09.2021.00024458-2")</f>
        <v>09.2021.00024458-2</v>
      </c>
      <c r="D19" s="4">
        <v>45681</v>
      </c>
      <c r="E19" s="16" t="str">
        <f>HYPERLINK("https://www8.mpce.mp.br/Empenhos/150001/Objeto/11-2022.pdf","EMPENHO DO ALUGUEL DO MÊS DE JANEIRO DE 2025, RELATIVO AO IMÓVEL ONDE FUNCIONAM AS PROMOTORIAS DE JUSTIÇA DA COMARCA DE ARACATI, CONF. CONTRATO Nº 011/2022.")</f>
        <v>EMPENHO DO ALUGUEL DO MÊS DE JANEIRO DE 2025, RELATIVO AO IMÓVEL ONDE FUNCIONAM AS PROMOTORIAS DE JUSTIÇA DA COMARCA DE ARACATI, CONF. CONTRATO Nº 011/2022.</v>
      </c>
      <c r="F19" s="2" t="s">
        <v>130</v>
      </c>
      <c r="G19" s="5" t="str">
        <f>HYPERLINK("http://www8.mpce.mp.br/Empenhos/150501/NE/2025NE000028.pdf","2025NE000028")</f>
        <v>2025NE000028</v>
      </c>
      <c r="H19" s="6">
        <v>18465</v>
      </c>
      <c r="I19" s="7" t="s">
        <v>24</v>
      </c>
      <c r="J19" s="10" t="s">
        <v>146</v>
      </c>
    </row>
    <row r="20" spans="1:10" x14ac:dyDescent="0.25">
      <c r="A20" s="12" t="s">
        <v>19</v>
      </c>
      <c r="B20" s="2" t="s">
        <v>147</v>
      </c>
      <c r="C20" s="3" t="str">
        <f>HYPERLINK("https://transparencia-area-fim.mpce.mp.br/#/consulta/processo/pastadigital/092021000244550","09.2021.00024455-0")</f>
        <v>09.2021.00024455-0</v>
      </c>
      <c r="D20" s="4">
        <v>45681</v>
      </c>
      <c r="E20" s="16" t="str">
        <f>HYPERLINK("https://www8.mpce.mp.br/Empenhos/150001/Objeto/10-2022.pdf","EMPENHO DO ALUGUEL DO MÊS DE JANEIRO DE 2025, RELATIVO AO IMÓVEL ONDE FUNCIONAM AS PROMOTORIAS DE JUSTIÇA DA COMARCA DE ICÓ, CONF. CONTRATO Nº 010/2022.")</f>
        <v>EMPENHO DO ALUGUEL DO MÊS DE JANEIRO DE 2025, RELATIVO AO IMÓVEL ONDE FUNCIONAM AS PROMOTORIAS DE JUSTIÇA DA COMARCA DE ICÓ, CONF. CONTRATO Nº 010/2022.</v>
      </c>
      <c r="F20" s="2" t="s">
        <v>130</v>
      </c>
      <c r="G20" s="5" t="str">
        <f>HYPERLINK("http://www8.mpce.mp.br/Empenhos/150501/NE/2025NE000029.pdf","2025NE000029")</f>
        <v>2025NE000029</v>
      </c>
      <c r="H20" s="6">
        <v>13486.5</v>
      </c>
      <c r="I20" s="7" t="s">
        <v>25</v>
      </c>
      <c r="J20" s="10" t="s">
        <v>148</v>
      </c>
    </row>
    <row r="21" spans="1:10" x14ac:dyDescent="0.25">
      <c r="A21" s="12" t="s">
        <v>19</v>
      </c>
      <c r="B21" s="2" t="s">
        <v>149</v>
      </c>
      <c r="C21" s="3" t="str">
        <f>HYPERLINK("https://transparencia-area-fim.mpce.mp.br/#/consulta/processo/pastadigital/092021000064195","09.2021.00006419-5")</f>
        <v>09.2021.00006419-5</v>
      </c>
      <c r="D21" s="4">
        <v>45681</v>
      </c>
      <c r="E21" s="16" t="str">
        <f>HYPERLINK("https://www8.mpce.mp.br/Empenhos/150001/Objeto/41-2021.pdf","EMPENHO DO ALUGUEL DO MÊS DE JANEIRO DE 2025, RELATIVO AO IMÓVEL ONDE FUNCIONAM AS PROMOTORIAS DE JUSTIÇA DA COMARCA DE QUIXADÁ, CONF. CONTRATO Nº 041/2021.")</f>
        <v>EMPENHO DO ALUGUEL DO MÊS DE JANEIRO DE 2025, RELATIVO AO IMÓVEL ONDE FUNCIONAM AS PROMOTORIAS DE JUSTIÇA DA COMARCA DE QUIXADÁ, CONF. CONTRATO Nº 041/2021.</v>
      </c>
      <c r="F21" s="2" t="s">
        <v>130</v>
      </c>
      <c r="G21" s="5" t="str">
        <f>HYPERLINK("http://www8.mpce.mp.br/Empenhos/150501/NE/2025NE000030.pdf","2025NE000030")</f>
        <v>2025NE000030</v>
      </c>
      <c r="H21" s="6">
        <v>18900</v>
      </c>
      <c r="I21" s="7" t="s">
        <v>23</v>
      </c>
      <c r="J21" s="10" t="s">
        <v>135</v>
      </c>
    </row>
    <row r="22" spans="1:10" x14ac:dyDescent="0.25">
      <c r="A22" s="12" t="s">
        <v>19</v>
      </c>
      <c r="B22" s="2" t="s">
        <v>150</v>
      </c>
      <c r="C22" s="3" t="str">
        <f>HYPERLINK("https://transparencia-area-fim.mpce.mp.br/#/consulta/processo/pastadigital/092021000065217","09.2021.00006521-7")</f>
        <v>09.2021.00006521-7</v>
      </c>
      <c r="D22" s="4">
        <v>45681</v>
      </c>
      <c r="E22" s="16" t="str">
        <f>HYPERLINK("https://www8.mpce.mp.br/Empenhos/150001/Objeto/38-2021.pdf","EMPENHO DO ALUGUEL DO MÊS DE JANEIRO DE 2025, RELATIVO AO IMÓVEL ONDE FUNCIONAM AS PROMOTORIAS DE JUSTIÇA DA COMARCA DE TAUÁ, CONF. CONTRATO Nº 038/2021.")</f>
        <v>EMPENHO DO ALUGUEL DO MÊS DE JANEIRO DE 2025, RELATIVO AO IMÓVEL ONDE FUNCIONAM AS PROMOTORIAS DE JUSTIÇA DA COMARCA DE TAUÁ, CONF. CONTRATO Nº 038/2021.</v>
      </c>
      <c r="F22" s="2" t="s">
        <v>130</v>
      </c>
      <c r="G22" s="5" t="str">
        <f>HYPERLINK("http://www8.mpce.mp.br/Empenhos/150501/NE/2025NE000031.pdf","2025NE000031")</f>
        <v>2025NE000031</v>
      </c>
      <c r="H22" s="6">
        <v>18000</v>
      </c>
      <c r="I22" s="7" t="s">
        <v>26</v>
      </c>
      <c r="J22" s="10" t="s">
        <v>151</v>
      </c>
    </row>
    <row r="23" spans="1:10" x14ac:dyDescent="0.25">
      <c r="A23" s="12" t="s">
        <v>19</v>
      </c>
      <c r="B23" s="2" t="s">
        <v>152</v>
      </c>
      <c r="C23" s="3" t="str">
        <f>HYPERLINK("https://transparencia-area-fim.mpce.mp.br/#/consulta/processo/pastadigital/092021000063220","09.2021.00006322-0")</f>
        <v>09.2021.00006322-0</v>
      </c>
      <c r="D23" s="4">
        <v>45681</v>
      </c>
      <c r="E23" s="16" t="str">
        <f>HYPERLINK("https://www8.mpce.mp.br/Empenhos/150001/Objeto/33-2021.pdf","EMPENHO DO ALUGUEL DO MÊS DE JANEIRO DE 2025, RELATIVO AO IMÓVEL ONDE FUNCIONAM AS PROMOTORIAS DE JUSTIÇA DA COMARCA DE SOBRAL, CONF. CONTRATO Nº 033/2021.")</f>
        <v>EMPENHO DO ALUGUEL DO MÊS DE JANEIRO DE 2025, RELATIVO AO IMÓVEL ONDE FUNCIONAM AS PROMOTORIAS DE JUSTIÇA DA COMARCA DE SOBRAL, CONF. CONTRATO Nº 033/2021.</v>
      </c>
      <c r="F23" s="2" t="s">
        <v>130</v>
      </c>
      <c r="G23" s="5" t="str">
        <f>HYPERLINK("http://www8.mpce.mp.br/Empenhos/150501/NE/2025NE000032.pdf","2025NE000032")</f>
        <v>2025NE000032</v>
      </c>
      <c r="H23" s="6">
        <v>33400.11</v>
      </c>
      <c r="I23" s="7" t="s">
        <v>21</v>
      </c>
      <c r="J23" s="10" t="s">
        <v>140</v>
      </c>
    </row>
    <row r="24" spans="1:10" x14ac:dyDescent="0.25">
      <c r="A24" s="12" t="s">
        <v>19</v>
      </c>
      <c r="B24" s="2" t="s">
        <v>153</v>
      </c>
      <c r="C24" s="3" t="str">
        <f>HYPERLINK("http://www8.mpce.mp.br/Dispensa/1984020196.pdf","19840/2019-6")</f>
        <v>19840/2019-6</v>
      </c>
      <c r="D24" s="4">
        <v>45681</v>
      </c>
      <c r="E24" s="16" t="str">
        <f>HYPERLINK("https://www8.mpce.mp.br/Empenhos/150001/Objeto/48-2019.pdf","EMPENHO DO ALUGUEL DO MÊS DE JANEIRO DE 2025, RELATIVO AO IMÓVEL ONDE FUNCIONAM AS PROMOTORIAS DE JUSTIÇA DA COMARCA DE CAUCAIA, CONF. CONTRATO Nº 048/2019.")</f>
        <v>EMPENHO DO ALUGUEL DO MÊS DE JANEIRO DE 2025, RELATIVO AO IMÓVEL ONDE FUNCIONAM AS PROMOTORIAS DE JUSTIÇA DA COMARCA DE CAUCAIA, CONF. CONTRATO Nº 048/2019.</v>
      </c>
      <c r="F24" s="2" t="s">
        <v>130</v>
      </c>
      <c r="G24" s="5" t="str">
        <f>HYPERLINK("http://www8.mpce.mp.br/Empenhos/150501/NE/2025NE000033.pdf","2025NE000033")</f>
        <v>2025NE000033</v>
      </c>
      <c r="H24" s="6">
        <v>47253.13</v>
      </c>
      <c r="I24" s="7" t="s">
        <v>27</v>
      </c>
      <c r="J24" s="10" t="s">
        <v>154</v>
      </c>
    </row>
    <row r="25" spans="1:10" x14ac:dyDescent="0.25">
      <c r="A25" s="12" t="s">
        <v>19</v>
      </c>
      <c r="B25" s="2" t="s">
        <v>155</v>
      </c>
      <c r="C25" s="3" t="str">
        <f>HYPERLINK("https://transparencia-area-fim.mpce.mp.br/#/consulta/processo/pastadigital/092022000197876","09.2022.00019787-6")</f>
        <v>09.2022.00019787-6</v>
      </c>
      <c r="D25" s="4">
        <v>45681</v>
      </c>
      <c r="E25" s="16" t="str">
        <f>HYPERLINK("https://www8.mpce.mp.br/Empenhos/150001/Objeto/02-2023.pdf","EMPENHO DO ALUGUEL DO MÊS DE JANEIRO DE 2025, RELATIVO AO IMÓVEL ONDE FUNCIONA O NÚCLEO DE MEDIAÇÃO COMUNITÁRIA DO BOM JARDIM, CONF. CONTRATO Nº 002/2023.")</f>
        <v>EMPENHO DO ALUGUEL DO MÊS DE JANEIRO DE 2025, RELATIVO AO IMÓVEL ONDE FUNCIONA O NÚCLEO DE MEDIAÇÃO COMUNITÁRIA DO BOM JARDIM, CONF. CONTRATO Nº 002/2023.</v>
      </c>
      <c r="F25" s="2" t="s">
        <v>130</v>
      </c>
      <c r="G25" s="5" t="str">
        <f>HYPERLINK("http://www8.mpce.mp.br/Empenhos/150501/NE/2025NE000034.pdf","2025NE000034")</f>
        <v>2025NE000034</v>
      </c>
      <c r="H25" s="6">
        <v>5600</v>
      </c>
      <c r="I25" s="7" t="s">
        <v>28</v>
      </c>
      <c r="J25" s="10" t="s">
        <v>156</v>
      </c>
    </row>
    <row r="26" spans="1:10" x14ac:dyDescent="0.25">
      <c r="A26" s="12" t="s">
        <v>19</v>
      </c>
      <c r="B26" s="2" t="s">
        <v>157</v>
      </c>
      <c r="C26" s="3" t="str">
        <f>HYPERLINK("http://www8.mpce.mp.br/Dispensa/842220170.pdf","8422/20170")</f>
        <v>8422/20170</v>
      </c>
      <c r="D26" s="4">
        <v>45681</v>
      </c>
      <c r="E26" s="16" t="str">
        <f>HYPERLINK("https://www8.mpce.mp.br/Empenhos/150001/Objeto/16-2017.pdf","EMPENHO DO ALUGUEL DO MÊS DE JANEIRO DE 2025, RELATIVO AO IMÓVEL ONDE FUNCIONAM AS PROMOTORIAS DE JUSTIÇA CRIMINAIS DE FORTALEZA, CONF. CONTRATO Nº 016/2017.")</f>
        <v>EMPENHO DO ALUGUEL DO MÊS DE JANEIRO DE 2025, RELATIVO AO IMÓVEL ONDE FUNCIONAM AS PROMOTORIAS DE JUSTIÇA CRIMINAIS DE FORTALEZA, CONF. CONTRATO Nº 016/2017.</v>
      </c>
      <c r="F26" s="2" t="s">
        <v>130</v>
      </c>
      <c r="G26" s="5" t="str">
        <f>HYPERLINK("http://www8.mpce.mp.br/Empenhos/150501/NE/2025NE000035.pdf","2025NE000035")</f>
        <v>2025NE000035</v>
      </c>
      <c r="H26" s="6">
        <v>61420.22</v>
      </c>
      <c r="I26" s="7" t="s">
        <v>29</v>
      </c>
      <c r="J26" s="10" t="s">
        <v>158</v>
      </c>
    </row>
    <row r="27" spans="1:10" x14ac:dyDescent="0.25">
      <c r="A27" s="12" t="s">
        <v>159</v>
      </c>
      <c r="B27" s="2" t="s">
        <v>160</v>
      </c>
      <c r="C27" s="3" t="str">
        <f>HYPERLINK("https://transparencia-area-fim.mpce.mp.br/#/consulta/processo/pastadigital/092023000293915","09.2023.00029391-5")</f>
        <v>09.2023.00029391-5</v>
      </c>
      <c r="D27" s="4">
        <v>45681</v>
      </c>
      <c r="E27" s="16" t="str">
        <f>HYPERLINK("https://www8.mpce.mp.br/Empenhos/150001/Objeto/54-2023.pdf","EMPENHO DO ALUGUEL DO MÊS DE JANEIRO DE 2025, RELATIVO AO IMÓVEL ONDE FUNCIONA O ALMOXARIFADO E PATRIMÔNIO, CONF. CONTRATO Nº 054/2023.")</f>
        <v>EMPENHO DO ALUGUEL DO MÊS DE JANEIRO DE 2025, RELATIVO AO IMÓVEL ONDE FUNCIONA O ALMOXARIFADO E PATRIMÔNIO, CONF. CONTRATO Nº 054/2023.</v>
      </c>
      <c r="F27" s="2" t="s">
        <v>130</v>
      </c>
      <c r="G27" s="5" t="str">
        <f>HYPERLINK("http://www8.mpce.mp.br/Empenhos/150501/NE/2025NE000036.pdf","2025NE000036")</f>
        <v>2025NE000036</v>
      </c>
      <c r="H27" s="6">
        <v>22000</v>
      </c>
      <c r="I27" s="7" t="s">
        <v>30</v>
      </c>
      <c r="J27" s="10" t="s">
        <v>161</v>
      </c>
    </row>
    <row r="28" spans="1:10" x14ac:dyDescent="0.25">
      <c r="A28" s="12" t="s">
        <v>19</v>
      </c>
      <c r="B28" s="2" t="s">
        <v>162</v>
      </c>
      <c r="C28" s="3" t="str">
        <f>HYPERLINK("https://transparencia-area-fim.mpce.mp.br/#/consulta/processo/pastadigital/092022000276145","09.2022.00027614-5")</f>
        <v>09.2022.00027614-5</v>
      </c>
      <c r="D28" s="4">
        <v>45681</v>
      </c>
      <c r="E28" s="16" t="str">
        <f>HYPERLINK("https://www8.mpce.mp.br/Empenhos/150001/Objeto/36-2022.pdf","EMPENHO DO ALUGUEL DO MÊS DE JANEIRO DE 2025, RELATIVO AO IMÓVEL ONDE FUNCIONAM AS PROMOTORIAS DE JUSTIÇA DA COMARCA DE ARARIPE, CONF. CONTRATO Nº 036/2022.")</f>
        <v>EMPENHO DO ALUGUEL DO MÊS DE JANEIRO DE 2025, RELATIVO AO IMÓVEL ONDE FUNCIONAM AS PROMOTORIAS DE JUSTIÇA DA COMARCA DE ARARIPE, CONF. CONTRATO Nº 036/2022.</v>
      </c>
      <c r="F28" s="2" t="s">
        <v>31</v>
      </c>
      <c r="G28" s="5" t="str">
        <f>HYPERLINK("http://www8.mpce.mp.br/Empenhos/150501/NE/2025NE000038.pdf","2025NE000038")</f>
        <v>2025NE000038</v>
      </c>
      <c r="H28" s="6">
        <v>1500</v>
      </c>
      <c r="I28" s="7" t="s">
        <v>32</v>
      </c>
      <c r="J28" s="10" t="s">
        <v>163</v>
      </c>
    </row>
    <row r="29" spans="1:10" x14ac:dyDescent="0.25">
      <c r="A29" s="12" t="s">
        <v>19</v>
      </c>
      <c r="B29" s="2" t="s">
        <v>164</v>
      </c>
      <c r="C29" s="3" t="str">
        <f>HYPERLINK("https://transparencia-area-fim.mpce.mp.br/#/consulta/processo/pastadigital/092022000091296","09.2022.00009129-6")</f>
        <v>09.2022.00009129-6</v>
      </c>
      <c r="D29" s="4">
        <v>45681</v>
      </c>
      <c r="E29" s="16" t="str">
        <f>HYPERLINK("https://www8.mpce.mp.br/Empenhos/150001/Objeto/33-2022.pdf","EMPENHO DO ALUGUEL DO MÊS DE JANEIRO DE 2025, RELATIVO AO IMÓVEL ONDE FUNCIONAM AS PROMOTORIAS DE JUSTIÇA DA COMARCA DE VÁRZEA ALEGRE, CONF. CONTRATO Nº 033/2022.")</f>
        <v>EMPENHO DO ALUGUEL DO MÊS DE JANEIRO DE 2025, RELATIVO AO IMÓVEL ONDE FUNCIONAM AS PROMOTORIAS DE JUSTIÇA DA COMARCA DE VÁRZEA ALEGRE, CONF. CONTRATO Nº 033/2022.</v>
      </c>
      <c r="F29" s="2" t="s">
        <v>31</v>
      </c>
      <c r="G29" s="5" t="str">
        <f>HYPERLINK("http://www8.mpce.mp.br/Empenhos/150501/NE/2025NE000039.pdf","2025NE000039")</f>
        <v>2025NE000039</v>
      </c>
      <c r="H29" s="6">
        <v>800</v>
      </c>
      <c r="I29" s="7" t="s">
        <v>33</v>
      </c>
      <c r="J29" s="10" t="s">
        <v>165</v>
      </c>
    </row>
    <row r="30" spans="1:10" x14ac:dyDescent="0.25">
      <c r="A30" s="12" t="s">
        <v>19</v>
      </c>
      <c r="B30" s="2" t="s">
        <v>166</v>
      </c>
      <c r="C30" s="3" t="str">
        <f>HYPERLINK("https://transparencia-area-fim.mpce.mp.br/#/consulta/processo/pastadigital/092022000264193","09.2022.00026419-3")</f>
        <v>09.2022.00026419-3</v>
      </c>
      <c r="D30" s="4">
        <v>45681</v>
      </c>
      <c r="E30" s="16" t="str">
        <f>HYPERLINK("https://www8.mpce.mp.br/Empenhos/150001/Objeto/28-2022.pdf","EMPENHO DO ALUGUEL DO MÊS DE JANEIRO DE 2025, RELATIVO AO IMÓVEL ONDE FUNCIONAM AS PROMOTORIAS DE JUSTIÇA DA COMARCA DE AURORA, CONF. CONTRATO Nº 028/2022.")</f>
        <v>EMPENHO DO ALUGUEL DO MÊS DE JANEIRO DE 2025, RELATIVO AO IMÓVEL ONDE FUNCIONAM AS PROMOTORIAS DE JUSTIÇA DA COMARCA DE AURORA, CONF. CONTRATO Nº 028/2022.</v>
      </c>
      <c r="F30" s="2" t="s">
        <v>31</v>
      </c>
      <c r="G30" s="5" t="str">
        <f>HYPERLINK("http://www8.mpce.mp.br/Empenhos/150501/NE/2025NE000040.pdf","2025NE000040")</f>
        <v>2025NE000040</v>
      </c>
      <c r="H30" s="6">
        <v>2000</v>
      </c>
      <c r="I30" s="7" t="s">
        <v>34</v>
      </c>
      <c r="J30" s="10" t="s">
        <v>167</v>
      </c>
    </row>
    <row r="31" spans="1:10" x14ac:dyDescent="0.25">
      <c r="A31" s="12" t="s">
        <v>159</v>
      </c>
      <c r="B31" s="2" t="s">
        <v>168</v>
      </c>
      <c r="C31" s="3" t="str">
        <f>HYPERLINK("http://www8.mpce.mp.br/Inexigibilidade/1045920194.pdf","10459/2019-4")</f>
        <v>10459/2019-4</v>
      </c>
      <c r="D31" s="4">
        <v>45681</v>
      </c>
      <c r="E31" s="16" t="str">
        <f>HYPERLINK("https://www8.mpce.mp.br/Empenhos/150001/Objeto/47-2019.pdf","EMPENHO REF. SERVIÇOS DE PERÍCIA NA QUALIDADE DA ÁGUA FORNECIDA A EMPREENDIMENTO LOTEAMENTO VALE DO KARIRI, CONF. CONTRATO 047/2019, INFORMATIVO Nº 0408/2024/NATEC/MEIO AMBIENTE"&amp;", REF. JAN/2025, POR ESTIMATIVA.")</f>
        <v>EMPENHO REF. SERVIÇOS DE PERÍCIA NA QUALIDADE DA ÁGUA FORNECIDA A EMPREENDIMENTO LOTEAMENTO VALE DO KARIRI, CONF. CONTRATO 047/2019, INFORMATIVO Nº 0408/2024/NATEC/MEIO AMBIENTE, REF. JAN/2025, POR ESTIMATIVA.</v>
      </c>
      <c r="F31" s="2" t="s">
        <v>169</v>
      </c>
      <c r="G31" s="5" t="str">
        <f>HYPERLINK("http://www8.mpce.mp.br/Empenhos/150501/NE/2025NE000041.pdf","2025NE000041")</f>
        <v>2025NE000041</v>
      </c>
      <c r="H31" s="6">
        <v>1863</v>
      </c>
      <c r="I31" s="7" t="s">
        <v>35</v>
      </c>
      <c r="J31" s="10" t="s">
        <v>170</v>
      </c>
    </row>
    <row r="32" spans="1:10" x14ac:dyDescent="0.25">
      <c r="A32" s="12" t="s">
        <v>19</v>
      </c>
      <c r="B32" s="2" t="s">
        <v>171</v>
      </c>
      <c r="C32" s="3" t="str">
        <f>HYPERLINK("https://transparencia-area-fim.mpce.mp.br/#/consulta/processo/pastadigital/092021000166790","09.2021.00016679-0")</f>
        <v>09.2021.00016679-0</v>
      </c>
      <c r="D32" s="4">
        <v>45681</v>
      </c>
      <c r="E32" s="16" t="str">
        <f>HYPERLINK("https://www8.mpce.mp.br/Empenhos/150001/Objeto/24-2022.pdf","EMPENHO DO ALUGUEL DO MÊS DE JANEIRO DE 2025, RELATIVO AO IMÓVEL ONDE FUNCIONAM AS PROMOTORIAS DE JUSTIÇA DA COMARCA DE HORIZONTE, CONF. CONTRATO Nº 024/2022.")</f>
        <v>EMPENHO DO ALUGUEL DO MÊS DE JANEIRO DE 2025, RELATIVO AO IMÓVEL ONDE FUNCIONAM AS PROMOTORIAS DE JUSTIÇA DA COMARCA DE HORIZONTE, CONF. CONTRATO Nº 024/2022.</v>
      </c>
      <c r="F32" s="2" t="s">
        <v>31</v>
      </c>
      <c r="G32" s="5" t="str">
        <f>HYPERLINK("http://www8.mpce.mp.br/Empenhos/150501/NE/2025NE000042.pdf","2025NE000042")</f>
        <v>2025NE000042</v>
      </c>
      <c r="H32" s="6">
        <v>2400</v>
      </c>
      <c r="I32" s="7" t="s">
        <v>36</v>
      </c>
      <c r="J32" s="10" t="s">
        <v>172</v>
      </c>
    </row>
    <row r="33" spans="1:10" x14ac:dyDescent="0.25">
      <c r="A33" s="12" t="s">
        <v>19</v>
      </c>
      <c r="B33" s="2" t="s">
        <v>173</v>
      </c>
      <c r="C33" s="3" t="str">
        <f>HYPERLINK("http://www8.mpce.mp.br/Dispensa/3642820165.pdf","36428/2016-5")</f>
        <v>36428/2016-5</v>
      </c>
      <c r="D33" s="4">
        <v>45681</v>
      </c>
      <c r="E33" s="16" t="str">
        <f>HYPERLINK("https://www8.mpce.mp.br/Empenhos/150001/Objeto/26-2017.pdf","EMPENHO DO ALUGUEL DO MÊS DE JANEIRO DE 2025, RELATIVO AO IMÓVEL ONDE FUNCIONAM AS PROMOTORIAS DE JUSTIÇA DA COMARCA DE MARANGUAPE, CONF. CONTRATO Nº 026/2017.")</f>
        <v>EMPENHO DO ALUGUEL DO MÊS DE JANEIRO DE 2025, RELATIVO AO IMÓVEL ONDE FUNCIONAM AS PROMOTORIAS DE JUSTIÇA DA COMARCA DE MARANGUAPE, CONF. CONTRATO Nº 026/2017.</v>
      </c>
      <c r="F33" s="2" t="s">
        <v>31</v>
      </c>
      <c r="G33" s="5" t="str">
        <f>HYPERLINK("http://www8.mpce.mp.br/Empenhos/150501/NE/2025NE000043.pdf","2025NE000043")</f>
        <v>2025NE000043</v>
      </c>
      <c r="H33" s="6">
        <v>5518.15</v>
      </c>
      <c r="I33" s="7" t="s">
        <v>37</v>
      </c>
      <c r="J33" s="10" t="s">
        <v>174</v>
      </c>
    </row>
    <row r="34" spans="1:10" x14ac:dyDescent="0.25">
      <c r="A34" s="12" t="s">
        <v>19</v>
      </c>
      <c r="B34" s="2" t="s">
        <v>175</v>
      </c>
      <c r="C34" s="3" t="str">
        <f>HYPERLINK("https://transparencia-area-fim.mpce.mp.br/#/consulta/processo/pastadigital/092021000121226","09.2021.00012122-6")</f>
        <v>09.2021.00012122-6</v>
      </c>
      <c r="D34" s="4">
        <v>45681</v>
      </c>
      <c r="E34" s="16" t="str">
        <f>HYPERLINK("https://www8.mpce.mp.br/Empenhos/150001/Objeto/34-2021.pdf","EMPENHO DO ALUGUEL DO MÊS DE JANEIRO DE 2025, RELATIVO AO IMÓVEL ONDE FUNCIONAM AS PROMOTORIAS DE JUSTIÇA DA COMARCA DE SÃO BENEDITO, CONF. CONTRATO Nº 034/2021.")</f>
        <v>EMPENHO DO ALUGUEL DO MÊS DE JANEIRO DE 2025, RELATIVO AO IMÓVEL ONDE FUNCIONAM AS PROMOTORIAS DE JUSTIÇA DA COMARCA DE SÃO BENEDITO, CONF. CONTRATO Nº 034/2021.</v>
      </c>
      <c r="F34" s="2" t="s">
        <v>31</v>
      </c>
      <c r="G34" s="5" t="str">
        <f>HYPERLINK("http://www8.mpce.mp.br/Empenhos/150501/NE/2025NE000044.pdf","2025NE000044")</f>
        <v>2025NE000044</v>
      </c>
      <c r="H34" s="6">
        <v>2823.27</v>
      </c>
      <c r="I34" s="7" t="s">
        <v>38</v>
      </c>
      <c r="J34" s="10" t="s">
        <v>176</v>
      </c>
    </row>
    <row r="35" spans="1:10" x14ac:dyDescent="0.25">
      <c r="A35" s="12" t="s">
        <v>19</v>
      </c>
      <c r="B35" s="2" t="s">
        <v>177</v>
      </c>
      <c r="C35" s="3" t="str">
        <f>HYPERLINK("https://transparencia-area-fim.mpce.mp.br/#/consulta/processo/pastadigital/092021000155016","09.2021.00015501-6")</f>
        <v>09.2021.00015501-6</v>
      </c>
      <c r="D35" s="4">
        <v>45681</v>
      </c>
      <c r="E35" s="16" t="str">
        <f>HYPERLINK("https://www8.mpce.mp.br/Empenhos/150001/Objeto/26-2021.pdf","EMPENHO DO ALUGUEL DO MÊS DE JANEIRO DE 2025, RELATIVO AO IMÓVEL ONDE FUNCIONAM AS PROMOTORIAS DE JUSTIÇA DA COMARCA DE BREJO SANTO, CONF. CONTRATO Nº 026/2021.")</f>
        <v>EMPENHO DO ALUGUEL DO MÊS DE JANEIRO DE 2025, RELATIVO AO IMÓVEL ONDE FUNCIONAM AS PROMOTORIAS DE JUSTIÇA DA COMARCA DE BREJO SANTO, CONF. CONTRATO Nº 026/2021.</v>
      </c>
      <c r="F35" s="2" t="s">
        <v>31</v>
      </c>
      <c r="G35" s="5" t="str">
        <f>HYPERLINK("http://www8.mpce.mp.br/Empenhos/150501/NE/2025NE000045.pdf","2025NE000045")</f>
        <v>2025NE000045</v>
      </c>
      <c r="H35" s="6">
        <v>2601.5500000000002</v>
      </c>
      <c r="I35" s="7" t="s">
        <v>39</v>
      </c>
      <c r="J35" s="10" t="s">
        <v>178</v>
      </c>
    </row>
    <row r="36" spans="1:10" x14ac:dyDescent="0.25">
      <c r="A36" s="12" t="s">
        <v>19</v>
      </c>
      <c r="B36" s="2" t="s">
        <v>179</v>
      </c>
      <c r="C36" s="3" t="str">
        <f>HYPERLINK("https://transparencia-area-fim.mpce.mp.br/#/consulta/processo/pastadigital/092021000047808","09.2021.00004780-8")</f>
        <v>09.2021.00004780-8</v>
      </c>
      <c r="D36" s="4">
        <v>45681</v>
      </c>
      <c r="E36" s="16" t="str">
        <f>HYPERLINK("https://www8.mpce.mp.br/Empenhos/150001/Objeto/25-2021.pdf","EMPENHO DO ALUGUEL DO MÊS DE JANEIRO DE 2025, RELATIVO AO IMÓVEL ONDE FUNCIONAM AS PROMOTORIAS DE JUSTIÇA DA COMARCA DE ALTO SANTO, CONF. CONTRATO Nº 025/2021.")</f>
        <v>EMPENHO DO ALUGUEL DO MÊS DE JANEIRO DE 2025, RELATIVO AO IMÓVEL ONDE FUNCIONAM AS PROMOTORIAS DE JUSTIÇA DA COMARCA DE ALTO SANTO, CONF. CONTRATO Nº 025/2021.</v>
      </c>
      <c r="F36" s="2" t="s">
        <v>31</v>
      </c>
      <c r="G36" s="5" t="str">
        <f>HYPERLINK("http://www8.mpce.mp.br/Empenhos/150501/NE/2025NE000046.pdf","2025NE000046")</f>
        <v>2025NE000046</v>
      </c>
      <c r="H36" s="6">
        <v>1651.15</v>
      </c>
      <c r="I36" s="7" t="s">
        <v>40</v>
      </c>
      <c r="J36" s="10" t="s">
        <v>180</v>
      </c>
    </row>
    <row r="37" spans="1:10" x14ac:dyDescent="0.25">
      <c r="A37" s="12" t="s">
        <v>19</v>
      </c>
      <c r="B37" s="2" t="s">
        <v>181</v>
      </c>
      <c r="C37" s="3" t="str">
        <f>HYPERLINK("http://www8.mpce.mp.br/Dispensa/1955220197.pdf","19552/2019-7")</f>
        <v>19552/2019-7</v>
      </c>
      <c r="D37" s="4">
        <v>45681</v>
      </c>
      <c r="E37" s="16" t="str">
        <f>HYPERLINK("https://www8.mpce.mp.br/Empenhos/150001/Objeto/85-2019.pdf","EMPENHO DO ALUGUEL DO MÊS DE JANEIRO DE 2025, RELATIVO AO IMÓVEL ONDE FUNCIONAM AS PROMOTORIAS DE JUSTIÇA DA COMARCA DE PARAIPABA, CONF. CONTRATO Nº 085/2019.")</f>
        <v>EMPENHO DO ALUGUEL DO MÊS DE JANEIRO DE 2025, RELATIVO AO IMÓVEL ONDE FUNCIONAM AS PROMOTORIAS DE JUSTIÇA DA COMARCA DE PARAIPABA, CONF. CONTRATO Nº 085/2019.</v>
      </c>
      <c r="F37" s="2" t="s">
        <v>31</v>
      </c>
      <c r="G37" s="5" t="str">
        <f>HYPERLINK("http://www8.mpce.mp.br/Empenhos/150501/NE/2025NE000048.pdf","2025NE000048")</f>
        <v>2025NE000048</v>
      </c>
      <c r="H37" s="6">
        <v>1306.7</v>
      </c>
      <c r="I37" s="7" t="s">
        <v>41</v>
      </c>
      <c r="J37" s="10" t="s">
        <v>182</v>
      </c>
    </row>
    <row r="38" spans="1:10" x14ac:dyDescent="0.25">
      <c r="A38" s="12" t="s">
        <v>19</v>
      </c>
      <c r="B38" s="2" t="s">
        <v>183</v>
      </c>
      <c r="C38" s="3" t="str">
        <f>HYPERLINK("http://www8.mpce.mp.br/Dispensa/2004820193.pdf","20048/2019-3")</f>
        <v>20048/2019-3</v>
      </c>
      <c r="D38" s="4">
        <v>45681</v>
      </c>
      <c r="E38" s="16" t="str">
        <f>HYPERLINK("https://www8.mpce.mp.br/Empenhos/150001/Objeto/84-2019.pdf","EMPENHO DO ALUGUEL DO MÊS DE JANEIRO DE 2025, RELATIVO AO IMÓVEL ONDE FUNCIONAM AS PROMOTORIAS DE JUSTIÇA DA COMARCA DE MOMBAÇA, REF. AO CONTRATO Nº 084/2019.")</f>
        <v>EMPENHO DO ALUGUEL DO MÊS DE JANEIRO DE 2025, RELATIVO AO IMÓVEL ONDE FUNCIONAM AS PROMOTORIAS DE JUSTIÇA DA COMARCA DE MOMBAÇA, REF. AO CONTRATO Nº 084/2019.</v>
      </c>
      <c r="F38" s="2" t="s">
        <v>31</v>
      </c>
      <c r="G38" s="5" t="str">
        <f>HYPERLINK("http://www8.mpce.mp.br/Empenhos/150501/NE/2025NE000049.pdf","2025NE000049")</f>
        <v>2025NE000049</v>
      </c>
      <c r="H38" s="6">
        <v>4000</v>
      </c>
      <c r="I38" s="7" t="s">
        <v>42</v>
      </c>
      <c r="J38" s="10" t="s">
        <v>184</v>
      </c>
    </row>
    <row r="39" spans="1:10" x14ac:dyDescent="0.25">
      <c r="A39" s="12" t="s">
        <v>19</v>
      </c>
      <c r="B39" s="2" t="s">
        <v>185</v>
      </c>
      <c r="C39" s="3" t="str">
        <f>HYPERLINK("https://transparencia-area-fim.mpce.mp.br/#/consulta/processo/pastadigital/092021000079244","09.2021.00007924-4")</f>
        <v>09.2021.00007924-4</v>
      </c>
      <c r="D39" s="4">
        <v>45681</v>
      </c>
      <c r="E39" s="16" t="str">
        <f>HYPERLINK("https://www8.mpce.mp.br/Empenhos/150001/Objeto/27-2021.pdf","EMPENHO DO ALUGUEL DO MÊS DE JANEIRO DE 2025, RELATIVO AO IMÓVEL ONDE FUNCIONAM AS PROMOTORIAS DE JUSTIÇA DA COMARCA DE EUSÉBIO, CONF. CONTRATO Nº 027/2021.")</f>
        <v>EMPENHO DO ALUGUEL DO MÊS DE JANEIRO DE 2025, RELATIVO AO IMÓVEL ONDE FUNCIONAM AS PROMOTORIAS DE JUSTIÇA DA COMARCA DE EUSÉBIO, CONF. CONTRATO Nº 027/2021.</v>
      </c>
      <c r="F39" s="2" t="s">
        <v>130</v>
      </c>
      <c r="G39" s="5" t="str">
        <f>HYPERLINK("http://www8.mpce.mp.br/Empenhos/150501/NE/2025NE000050.pdf","2025NE000050")</f>
        <v>2025NE000050</v>
      </c>
      <c r="H39" s="6">
        <v>5546.1</v>
      </c>
      <c r="I39" s="7" t="s">
        <v>43</v>
      </c>
      <c r="J39" s="10" t="s">
        <v>186</v>
      </c>
    </row>
    <row r="40" spans="1:10" x14ac:dyDescent="0.25">
      <c r="A40" s="12" t="s">
        <v>19</v>
      </c>
      <c r="B40" s="2" t="s">
        <v>187</v>
      </c>
      <c r="C40" s="3" t="str">
        <f>HYPERLINK("https://transparencia-area-fim.mpce.mp.br/#/consulta/processo/pastadigital/092021000219739","09.2021.00021973-9")</f>
        <v>09.2021.00021973-9</v>
      </c>
      <c r="D40" s="4">
        <v>45681</v>
      </c>
      <c r="E40" s="16" t="str">
        <f>HYPERLINK("https://www8.mpce.mp.br/Empenhos/150001/Objeto/45-2021.pdf","EMPENHO REF. LOCAÇÃO DE IMÓVEL SITUADO NO EUSÉBIO-CE, ONDE FUNCIONA SEDE DE PROMOTORIAS DE JUSTIÇA DAQUELA COMARCA, CONF. CONTRATO 045/2021, REF. JAN/2025, POR ESTIMATIVA.")</f>
        <v>EMPENHO REF. LOCAÇÃO DE IMÓVEL SITUADO NO EUSÉBIO-CE, ONDE FUNCIONA SEDE DE PROMOTORIAS DE JUSTIÇA DAQUELA COMARCA, CONF. CONTRATO 045/2021, REF. JAN/2025, POR ESTIMATIVA.</v>
      </c>
      <c r="F40" s="2" t="s">
        <v>130</v>
      </c>
      <c r="G40" s="5" t="str">
        <f>HYPERLINK("http://www8.mpce.mp.br/Empenhos/150501/NE/2025NE000051.pdf","2025NE000051")</f>
        <v>2025NE000051</v>
      </c>
      <c r="H40" s="6">
        <v>1640.35</v>
      </c>
      <c r="I40" s="7" t="s">
        <v>43</v>
      </c>
      <c r="J40" s="10" t="s">
        <v>186</v>
      </c>
    </row>
    <row r="41" spans="1:10" x14ac:dyDescent="0.25">
      <c r="A41" s="12" t="s">
        <v>19</v>
      </c>
      <c r="B41" s="2" t="s">
        <v>188</v>
      </c>
      <c r="C41" s="3" t="str">
        <f>HYPERLINK("https://transparencia-area-fim.mpce.mp.br/#/consulta/processo/pastadigital/092021000219739","09.2021.00021973-9")</f>
        <v>09.2021.00021973-9</v>
      </c>
      <c r="D41" s="4">
        <v>45681</v>
      </c>
      <c r="E41" s="16" t="str">
        <f>HYPERLINK("https://www8.mpce.mp.br/Empenhos/150001/Objeto/45-2021.pdf","EMPENHO DOS CONDOMÍNIOS DO MÊS DE JANEIRO DE 2025, RELATIVO AO IMÓVEL ONDE FUNCIONAM AS PROMOTORIAS DE JUSTIÇA DA COMARCA DE EUSÉBIO, CONF. CONTRATO Nº 045/2021.")</f>
        <v>EMPENHO DOS CONDOMÍNIOS DO MÊS DE JANEIRO DE 2025, RELATIVO AO IMÓVEL ONDE FUNCIONAM AS PROMOTORIAS DE JUSTIÇA DA COMARCA DE EUSÉBIO, CONF. CONTRATO Nº 045/2021.</v>
      </c>
      <c r="F41" s="2" t="s">
        <v>189</v>
      </c>
      <c r="G41" s="5" t="str">
        <f>HYPERLINK("http://www8.mpce.mp.br/Empenhos/150501/NE/2025NE000054.pdf","2025NE000054")</f>
        <v>2025NE000054</v>
      </c>
      <c r="H41" s="6">
        <v>499.1</v>
      </c>
      <c r="I41" s="7" t="s">
        <v>43</v>
      </c>
      <c r="J41" s="10" t="s">
        <v>186</v>
      </c>
    </row>
    <row r="42" spans="1:10" x14ac:dyDescent="0.25">
      <c r="A42" s="12" t="s">
        <v>19</v>
      </c>
      <c r="B42" s="2" t="s">
        <v>190</v>
      </c>
      <c r="C42" s="3" t="str">
        <f>HYPERLINK("https://transparencia-area-fim.mpce.mp.br/#/consulta/processo/pastadigital/092021000079244","09.2021.00007924-4")</f>
        <v>09.2021.00007924-4</v>
      </c>
      <c r="D42" s="4">
        <v>45681</v>
      </c>
      <c r="E42" s="16" t="str">
        <f>HYPERLINK("https://www8.mpce.mp.br/Empenhos/150001/Objeto/27-2021.pdf","EMPENHO DOS CONDOMÍNIOS DO MÊS DE JANEIRO DE 2025, RELATIVO AO IMÓVEL ONDE FUNCIONAM AS PROMOTORIAS DE JUSTIÇA DA COMARCA DE EUSÉBIO, CONF. CONTRATO Nº 027/2021.")</f>
        <v>EMPENHO DOS CONDOMÍNIOS DO MÊS DE JANEIRO DE 2025, RELATIVO AO IMÓVEL ONDE FUNCIONAM AS PROMOTORIAS DE JUSTIÇA DA COMARCA DE EUSÉBIO, CONF. CONTRATO Nº 027/2021.</v>
      </c>
      <c r="F42" s="2" t="s">
        <v>189</v>
      </c>
      <c r="G42" s="5" t="str">
        <f>HYPERLINK("http://www8.mpce.mp.br/Empenhos/150501/NE/2025NE000055.pdf","2025NE000055")</f>
        <v>2025NE000055</v>
      </c>
      <c r="H42" s="6">
        <v>1605.66</v>
      </c>
      <c r="I42" s="7" t="s">
        <v>43</v>
      </c>
      <c r="J42" s="10" t="s">
        <v>186</v>
      </c>
    </row>
    <row r="43" spans="1:10" x14ac:dyDescent="0.25">
      <c r="A43" s="12" t="s">
        <v>159</v>
      </c>
      <c r="B43" s="2" t="s">
        <v>191</v>
      </c>
      <c r="C43" s="3" t="str">
        <f>HYPERLINK("https://transparencia-area-fim.mpce.mp.br/#/consulta/processo/pastadigital/092022000371847","09.2022.00037184-7")</f>
        <v>09.2022.00037184-7</v>
      </c>
      <c r="D43" s="4">
        <v>45681</v>
      </c>
      <c r="E43" s="16" t="str">
        <f>HYPERLINK("https://www8.mpce.mp.br/Empenhos/150001/Objeto/44-2023.pdf","EMPENHO REF. ALUGUEL DE IMÓVEL ONDE FUNCIONA SEDE DE PROMOTORIAS DE JUSTIÇA DA COMARCA DE MARCO-CE, CONF. CONTRATO 044/2023, REF. JAN/2025, POR ESTIMATIVA.")</f>
        <v>EMPENHO REF. ALUGUEL DE IMÓVEL ONDE FUNCIONA SEDE DE PROMOTORIAS DE JUSTIÇA DA COMARCA DE MARCO-CE, CONF. CONTRATO 044/2023, REF. JAN/2025, POR ESTIMATIVA.</v>
      </c>
      <c r="F43" s="2" t="s">
        <v>31</v>
      </c>
      <c r="G43" s="5" t="str">
        <f>HYPERLINK("http://www8.mpce.mp.br/Empenhos/150501/NE/2025NE000057.pdf","2025NE000057")</f>
        <v>2025NE000057</v>
      </c>
      <c r="H43" s="6">
        <v>1200</v>
      </c>
      <c r="I43" s="7" t="s">
        <v>44</v>
      </c>
      <c r="J43" s="10" t="s">
        <v>192</v>
      </c>
    </row>
    <row r="44" spans="1:10" x14ac:dyDescent="0.25">
      <c r="A44" s="12" t="s">
        <v>159</v>
      </c>
      <c r="B44" s="2" t="s">
        <v>191</v>
      </c>
      <c r="C44" s="3" t="str">
        <f>HYPERLINK("https://transparencia-area-fim.mpce.mp.br/#/consulta/processo/pastadigital/092022000409094","09.2022.00040909-4")</f>
        <v>09.2022.00040909-4</v>
      </c>
      <c r="D44" s="4">
        <v>45681</v>
      </c>
      <c r="E44" s="16" t="str">
        <f>HYPERLINK("https://www8.mpce.mp.br/Empenhos/150001/Objeto/41-2023.pdf","EMPENHO REF. ALUGUEL DE IMÓVEL ONDE FUNCIONA SEDE DE PROMOTORIAS DE JUSTIÇA DE GUARACIABA DO NORTE, CONF. CONTRATO 041/2023, REF. JAN/2025, POR ESTIMATIVA.")</f>
        <v>EMPENHO REF. ALUGUEL DE IMÓVEL ONDE FUNCIONA SEDE DE PROMOTORIAS DE JUSTIÇA DE GUARACIABA DO NORTE, CONF. CONTRATO 041/2023, REF. JAN/2025, POR ESTIMATIVA.</v>
      </c>
      <c r="F44" s="2" t="s">
        <v>31</v>
      </c>
      <c r="G44" s="5" t="str">
        <f>HYPERLINK("http://www8.mpce.mp.br/Empenhos/150501/NE/2025NE000058.pdf","2025NE000058")</f>
        <v>2025NE000058</v>
      </c>
      <c r="H44" s="6">
        <v>2300</v>
      </c>
      <c r="I44" s="7" t="s">
        <v>45</v>
      </c>
      <c r="J44" s="10" t="s">
        <v>193</v>
      </c>
    </row>
    <row r="45" spans="1:10" x14ac:dyDescent="0.25">
      <c r="A45" s="12" t="s">
        <v>159</v>
      </c>
      <c r="B45" s="2" t="s">
        <v>191</v>
      </c>
      <c r="C45" s="3" t="str">
        <f>HYPERLINK("https://transparencia-area-fim.mpce.mp.br/#/consulta/processo/pastadigital/092022000426227","09.2022.00042622-7")</f>
        <v>09.2022.00042622-7</v>
      </c>
      <c r="D45" s="4">
        <v>45681</v>
      </c>
      <c r="E45" s="16" t="str">
        <f>HYPERLINK("https://www8.mpce.mp.br/Empenhos/150001/Objeto/33-2023.pdf","EMPENHO REF. ALUGUEL DE IMÓVEL ONDE FUNCIONA SEDE DE PROMOTORIAS DE JUSTIÇA DA COMARCA DE JUCÁS, CONF. CONTRATO 033/2023, REF. JAN/2025, POR ESTIMATIVA.")</f>
        <v>EMPENHO REF. ALUGUEL DE IMÓVEL ONDE FUNCIONA SEDE DE PROMOTORIAS DE JUSTIÇA DA COMARCA DE JUCÁS, CONF. CONTRATO 033/2023, REF. JAN/2025, POR ESTIMATIVA.</v>
      </c>
      <c r="F45" s="2" t="s">
        <v>31</v>
      </c>
      <c r="G45" s="5" t="str">
        <f>HYPERLINK("http://www8.mpce.mp.br/Empenhos/150501/NE/2025NE000059.pdf","2025NE000059")</f>
        <v>2025NE000059</v>
      </c>
      <c r="H45" s="6">
        <v>2500</v>
      </c>
      <c r="I45" s="7" t="s">
        <v>46</v>
      </c>
      <c r="J45" s="10" t="s">
        <v>194</v>
      </c>
    </row>
    <row r="46" spans="1:10" x14ac:dyDescent="0.25">
      <c r="A46" s="12" t="s">
        <v>19</v>
      </c>
      <c r="B46" s="2" t="s">
        <v>187</v>
      </c>
      <c r="C46" s="3" t="str">
        <f>HYPERLINK("https://transparencia-area-fim.mpce.mp.br/#/consulta/processo/pastadigital/092022000110511","09.2022.00011051-1")</f>
        <v>09.2022.00011051-1</v>
      </c>
      <c r="D46" s="4">
        <v>45681</v>
      </c>
      <c r="E46" s="16" t="str">
        <f>HYPERLINK("https://www8.mpce.mp.br/Empenhos/150001/Objeto/38-2022.pdf","EMPENHO REF. ALUGUEL DE IMÓVEL ONDE FUNCIONA SEDE DE PROMOTORIAS DE JUSTIÇA DA COMARCA DE NOVA OLINDA, CONF. CONTRATO 038/2022, REF. JAN/2025, POR ESTIMATIVA.")</f>
        <v>EMPENHO REF. ALUGUEL DE IMÓVEL ONDE FUNCIONA SEDE DE PROMOTORIAS DE JUSTIÇA DA COMARCA DE NOVA OLINDA, CONF. CONTRATO 038/2022, REF. JAN/2025, POR ESTIMATIVA.</v>
      </c>
      <c r="F46" s="2" t="s">
        <v>31</v>
      </c>
      <c r="G46" s="5" t="str">
        <f>HYPERLINK("http://www8.mpce.mp.br/Empenhos/150501/NE/2025NE000060.pdf","2025NE000060")</f>
        <v>2025NE000060</v>
      </c>
      <c r="H46" s="6">
        <v>2000</v>
      </c>
      <c r="I46" s="7" t="s">
        <v>47</v>
      </c>
      <c r="J46" s="10" t="s">
        <v>195</v>
      </c>
    </row>
    <row r="47" spans="1:10" x14ac:dyDescent="0.25">
      <c r="A47" s="12" t="s">
        <v>159</v>
      </c>
      <c r="B47" s="2" t="s">
        <v>191</v>
      </c>
      <c r="C47" s="3" t="str">
        <f>HYPERLINK("https://transparencia-area-fim.mpce.mp.br/#/consulta/processo/pastadigital/092024000173970","09.2024.00017397-0")</f>
        <v>09.2024.00017397-0</v>
      </c>
      <c r="D47" s="4">
        <v>45681</v>
      </c>
      <c r="E47" s="16" t="str">
        <f>HYPERLINK("https://www8.mpce.mp.br/Empenhos/150001/Objeto/44-2024.pdf","EMPENHO REF. ALUGUEL DE IMÓVEL ONDE FUNCIONA SEDE DE PROMOTORIAS DE JUSTIÇA DA COMARCA DE ACARAÚ-CE, CONF. CONTRATO 044/2024, REF. JAN/2025, POR ESTIMATIVA.")</f>
        <v>EMPENHO REF. ALUGUEL DE IMÓVEL ONDE FUNCIONA SEDE DE PROMOTORIAS DE JUSTIÇA DA COMARCA DE ACARAÚ-CE, CONF. CONTRATO 044/2024, REF. JAN/2025, POR ESTIMATIVA.</v>
      </c>
      <c r="F47" s="2" t="s">
        <v>130</v>
      </c>
      <c r="G47" s="5" t="str">
        <f>HYPERLINK("http://www8.mpce.mp.br/Empenhos/150501/NE/2025NE000063.pdf","2025NE000063")</f>
        <v>2025NE000063</v>
      </c>
      <c r="H47" s="6">
        <v>3403.88</v>
      </c>
      <c r="I47" s="7" t="s">
        <v>48</v>
      </c>
      <c r="J47" s="10" t="s">
        <v>196</v>
      </c>
    </row>
    <row r="48" spans="1:10" x14ac:dyDescent="0.25">
      <c r="A48" s="12" t="s">
        <v>159</v>
      </c>
      <c r="B48" s="2" t="s">
        <v>191</v>
      </c>
      <c r="C48" s="3" t="str">
        <f>HYPERLINK("https://transparencia-area-fim.mpce.mp.br/#/consulta/processo/pastadigital/092022000083885","09.2022.00008388-5")</f>
        <v>09.2022.00008388-5</v>
      </c>
      <c r="D48" s="4">
        <v>45681</v>
      </c>
      <c r="E48" s="16" t="str">
        <f>HYPERLINK("https://www8.mpce.mp.br/Empenhos/150001/Objeto/36-2023.pdf","EMPENHO REF. ALUGUEL DE IMÓVEL ONDE FUNCIONA SEDE DE PROMOTORIAS DE JUSTIÇA DA COMARCA DE SOLONÓPOLE, CONF. CONTRATO 036/2023, REF. JAN/2025, POR ESTIMATIVA.")</f>
        <v>EMPENHO REF. ALUGUEL DE IMÓVEL ONDE FUNCIONA SEDE DE PROMOTORIAS DE JUSTIÇA DA COMARCA DE SOLONÓPOLE, CONF. CONTRATO 036/2023, REF. JAN/2025, POR ESTIMATIVA.</v>
      </c>
      <c r="F48" s="2" t="s">
        <v>31</v>
      </c>
      <c r="G48" s="5" t="str">
        <f>HYPERLINK("http://www8.mpce.mp.br/Empenhos/150501/NE/2025NE000064.pdf","2025NE000064")</f>
        <v>2025NE000064</v>
      </c>
      <c r="H48" s="6">
        <v>3897.24</v>
      </c>
      <c r="I48" s="7" t="s">
        <v>49</v>
      </c>
      <c r="J48" s="10" t="s">
        <v>197</v>
      </c>
    </row>
    <row r="49" spans="1:10" x14ac:dyDescent="0.25">
      <c r="A49" s="12" t="s">
        <v>159</v>
      </c>
      <c r="B49" s="2" t="s">
        <v>191</v>
      </c>
      <c r="C49" s="3" t="str">
        <f>HYPERLINK("https://transparencia-area-fim.mpce.mp.br/#/consulta/processo/pastadigital/092024000265223","09.2024.00026522-3")</f>
        <v>09.2024.00026522-3</v>
      </c>
      <c r="D49" s="4">
        <v>45681</v>
      </c>
      <c r="E49" s="16" t="str">
        <f>HYPERLINK("https://www8.mpce.mp.br/Empenhos/150001/Objeto/91-2024.pdf","EMPENHO REF. ALUGUEL DE IMÓVEL ONDE FUNCIONA SEDE DE PROMOTORIAS DE JUSTIÇA DA COMARCA DE JAGUARIBE, CONF. CONTRATO 091/2024, REF. JAN/2025, POR ESTIMATIVA.")</f>
        <v>EMPENHO REF. ALUGUEL DE IMÓVEL ONDE FUNCIONA SEDE DE PROMOTORIAS DE JUSTIÇA DA COMARCA DE JAGUARIBE, CONF. CONTRATO 091/2024, REF. JAN/2025, POR ESTIMATIVA.</v>
      </c>
      <c r="F49" s="2" t="s">
        <v>31</v>
      </c>
      <c r="G49" s="5" t="str">
        <f>HYPERLINK("http://www8.mpce.mp.br/Empenhos/150501/NE/2025NE000066.pdf","2025NE000066")</f>
        <v>2025NE000066</v>
      </c>
      <c r="H49" s="6">
        <v>3000</v>
      </c>
      <c r="I49" s="7" t="s">
        <v>198</v>
      </c>
      <c r="J49" s="10" t="s">
        <v>199</v>
      </c>
    </row>
    <row r="50" spans="1:10" x14ac:dyDescent="0.25">
      <c r="A50" s="12" t="s">
        <v>19</v>
      </c>
      <c r="B50" s="2" t="s">
        <v>200</v>
      </c>
      <c r="C50" s="3" t="str">
        <f>HYPERLINK("https://transparencia-area-fim.mpce.mp.br/#/consulta/processo/pastadigital/092024000063220","09.2024.00006322-0")</f>
        <v>09.2024.00006322-0</v>
      </c>
      <c r="D50" s="4">
        <v>45680</v>
      </c>
      <c r="E50" s="17" t="s">
        <v>201</v>
      </c>
      <c r="F50" s="2" t="s">
        <v>202</v>
      </c>
      <c r="G50" s="5" t="str">
        <f>HYPERLINK("http://www8.mpce.mp.br/Empenhos/150001/NE/2025NE000075.pdf","2025NE000075")</f>
        <v>2025NE000075</v>
      </c>
      <c r="H50" s="6">
        <v>2893.9</v>
      </c>
      <c r="I50" s="7" t="s">
        <v>203</v>
      </c>
      <c r="J50" s="10" t="s">
        <v>204</v>
      </c>
    </row>
    <row r="51" spans="1:10" x14ac:dyDescent="0.25">
      <c r="A51" s="12" t="s">
        <v>19</v>
      </c>
      <c r="B51" s="2" t="s">
        <v>187</v>
      </c>
      <c r="C51" s="3" t="str">
        <f>HYPERLINK("https://transparencia-area-fim.mpce.mp.br/#/consulta/processo/pastadigital/092023000338541","09.2023.00033854-1")</f>
        <v>09.2023.00033854-1</v>
      </c>
      <c r="D51" s="4">
        <v>45681</v>
      </c>
      <c r="E51" s="16" t="str">
        <f>HYPERLINK("https://www8.mpce.mp.br/Empenhos/150001/Objeto/36-2024.pdf","EMPENHO REF. ALUGUEL DE IMÓVEL ONDE FUNCIONA DE SEDE DE PROMOTORIAS DE JUSTIÇA DA COMARCA DE MORADA NOVA, CONF. CONTRATO 036/2024, REF. JAN/2025, POR ESTIMATIVA.")</f>
        <v>EMPENHO REF. ALUGUEL DE IMÓVEL ONDE FUNCIONA DE SEDE DE PROMOTORIAS DE JUSTIÇA DA COMARCA DE MORADA NOVA, CONF. CONTRATO 036/2024, REF. JAN/2025, POR ESTIMATIVA.</v>
      </c>
      <c r="F51" s="2" t="s">
        <v>130</v>
      </c>
      <c r="G51" s="5" t="str">
        <f>HYPERLINK("http://www8.mpce.mp.br/Empenhos/150501/NE/2025NE000077.pdf","2025NE000077")</f>
        <v>2025NE000077</v>
      </c>
      <c r="H51" s="6">
        <v>17424</v>
      </c>
      <c r="I51" s="7" t="s">
        <v>27</v>
      </c>
      <c r="J51" s="10" t="s">
        <v>154</v>
      </c>
    </row>
    <row r="52" spans="1:10" x14ac:dyDescent="0.25">
      <c r="A52" s="12" t="s">
        <v>19</v>
      </c>
      <c r="B52" s="2" t="s">
        <v>205</v>
      </c>
      <c r="C52" s="3" t="str">
        <f>HYPERLINK("https://transparencia-area-fim.mpce.mp.br/#/consulta/processo/pastadigital/092020000071437","09.2020.00007143-7")</f>
        <v>09.2020.00007143-7</v>
      </c>
      <c r="D52" s="4">
        <v>45680</v>
      </c>
      <c r="E52" s="16" t="str">
        <f>HYPERLINK("https://www8.mpce.mp.br/Empenhos/150001/Objeto/23-2020.pdf","EMPENHO REF. FORNECIMENTO DE PRODUTOS E DE DIVERSOS SERVIÇOS DOS CORREIOS POR MEIO DOS CANAIS DE ATENDIMENTO DISPONIBILIZADOS, CONF. CONTRATO 023/2020, REF. JAN/2025, POR ESTIMA"&amp;"TIVA.")</f>
        <v>EMPENHO REF. FORNECIMENTO DE PRODUTOS E DE DIVERSOS SERVIÇOS DOS CORREIOS POR MEIO DOS CANAIS DE ATENDIMENTO DISPONIBILIZADOS, CONF. CONTRATO 023/2020, REF. JAN/2025, POR ESTIMATIVA.</v>
      </c>
      <c r="F52" s="2" t="s">
        <v>206</v>
      </c>
      <c r="G52" s="5" t="str">
        <f>HYPERLINK("http://www8.mpce.mp.br/Empenhos/150001/NE/2025NE000079.pdf","2025NE000079")</f>
        <v>2025NE000079</v>
      </c>
      <c r="H52" s="6">
        <v>20000</v>
      </c>
      <c r="I52" s="7" t="s">
        <v>50</v>
      </c>
      <c r="J52" s="10" t="s">
        <v>207</v>
      </c>
    </row>
    <row r="53" spans="1:10" x14ac:dyDescent="0.25">
      <c r="A53" s="12" t="s">
        <v>19</v>
      </c>
      <c r="B53" s="2" t="s">
        <v>187</v>
      </c>
      <c r="C53" s="3" t="str">
        <f>HYPERLINK("https://transparencia-area-fim.mpce.mp.br/#/consulta/processo/pastadigital/092023000338530","09.2023.00033853-0")</f>
        <v>09.2023.00033853-0</v>
      </c>
      <c r="D53" s="4">
        <v>45681</v>
      </c>
      <c r="E53" s="16" t="str">
        <f>HYPERLINK("https://www8.mpce.mp.br/Empenhos/150001/Objeto/05-2024.pdf","EMPENHO REF. ALUGUEL DE IMÓVEL ONDE FUNCIONA SEDE DE PROMOTORIAS DE JUSTIÇA DA COMARCA DE BATURITÉ-CE, CONF. CONTRATO 005/2024, REF. JAN/2025, POR ESTIMATIVA.")</f>
        <v>EMPENHO REF. ALUGUEL DE IMÓVEL ONDE FUNCIONA SEDE DE PROMOTORIAS DE JUSTIÇA DA COMARCA DE BATURITÉ-CE, CONF. CONTRATO 005/2024, REF. JAN/2025, POR ESTIMATIVA.</v>
      </c>
      <c r="F53" s="2" t="s">
        <v>130</v>
      </c>
      <c r="G53" s="5" t="str">
        <f>HYPERLINK("http://www8.mpce.mp.br/Empenhos/150501/NE/2025NE000082.pdf","2025NE000082")</f>
        <v>2025NE000082</v>
      </c>
      <c r="H53" s="6">
        <v>15272</v>
      </c>
      <c r="I53" s="7" t="s">
        <v>21</v>
      </c>
      <c r="J53" s="10" t="s">
        <v>140</v>
      </c>
    </row>
    <row r="54" spans="1:10" x14ac:dyDescent="0.25">
      <c r="A54" s="12" t="s">
        <v>19</v>
      </c>
      <c r="B54" s="2" t="s">
        <v>187</v>
      </c>
      <c r="C54" s="3" t="str">
        <f>HYPERLINK("https://transparencia-area-fim.mpce.mp.br/#/consulta/processo/pastadigital/092023000338563","09.2023.00033856-3")</f>
        <v>09.2023.00033856-3</v>
      </c>
      <c r="D54" s="4">
        <v>45681</v>
      </c>
      <c r="E54" s="16" t="str">
        <f>HYPERLINK("https://www8.mpce.mp.br/Empenhos/150001/Objeto/01-2024.pdf","EMPENHO REF. ALUGUEL DE IMÓVEL ONDE FUNCIONA SEDE DE PROMOTORIAS DE JUSTIÇA DA COMARCA DE AQUIRAZ-CE, CONF. CONTRATO 001/2024, REF. JAN/2025, POR ESTIMATIVA.")</f>
        <v>EMPENHO REF. ALUGUEL DE IMÓVEL ONDE FUNCIONA SEDE DE PROMOTORIAS DE JUSTIÇA DA COMARCA DE AQUIRAZ-CE, CONF. CONTRATO 001/2024, REF. JAN/2025, POR ESTIMATIVA.</v>
      </c>
      <c r="F54" s="2" t="s">
        <v>130</v>
      </c>
      <c r="G54" s="5" t="str">
        <f>HYPERLINK("http://www8.mpce.mp.br/Empenhos/150501/NE/2025NE000084.pdf","2025NE000084")</f>
        <v>2025NE000084</v>
      </c>
      <c r="H54" s="6">
        <v>16440</v>
      </c>
      <c r="I54" s="7" t="s">
        <v>27</v>
      </c>
      <c r="J54" s="10" t="s">
        <v>154</v>
      </c>
    </row>
    <row r="55" spans="1:10" x14ac:dyDescent="0.25">
      <c r="A55" s="12" t="s">
        <v>159</v>
      </c>
      <c r="B55" s="2" t="s">
        <v>191</v>
      </c>
      <c r="C55" s="3" t="str">
        <f>HYPERLINK("https://transparencia-area-fim.mpce.mp.br/#/consulta/processo/pastadigital/092024000240032","09.2024.00024003-2")</f>
        <v>09.2024.00024003-2</v>
      </c>
      <c r="D55" s="4">
        <v>45681</v>
      </c>
      <c r="E55" s="16" t="str">
        <f>HYPERLINK("https://www8.mpce.mp.br/Empenhos/150001/Objeto/93-2024.pdf","EMPENHO REF. ALUGUEL DE IMÓVEL ONDE FUNCIONA SEDE DE PROMOTORIAS DE JUSTIÇA DA COMARCA DE IPU-CE, CONF. CONTRATO 093/2024, REF. JAN/2025, POR ESTIMATIVA.")</f>
        <v>EMPENHO REF. ALUGUEL DE IMÓVEL ONDE FUNCIONA SEDE DE PROMOTORIAS DE JUSTIÇA DA COMARCA DE IPU-CE, CONF. CONTRATO 093/2024, REF. JAN/2025, POR ESTIMATIVA.</v>
      </c>
      <c r="F55" s="2" t="s">
        <v>31</v>
      </c>
      <c r="G55" s="5" t="str">
        <f>HYPERLINK("http://www8.mpce.mp.br/Empenhos/150501/NE/2025NE000086.pdf","2025NE000086")</f>
        <v>2025NE000086</v>
      </c>
      <c r="H55" s="6">
        <v>3817</v>
      </c>
      <c r="I55" s="7" t="s">
        <v>208</v>
      </c>
      <c r="J55" s="10" t="s">
        <v>209</v>
      </c>
    </row>
    <row r="56" spans="1:10" x14ac:dyDescent="0.25">
      <c r="A56" s="12" t="s">
        <v>19</v>
      </c>
      <c r="B56" s="2" t="s">
        <v>210</v>
      </c>
      <c r="C56" s="3" t="str">
        <f>HYPERLINK("http://www8.mpce.mp.br/Dispensa/3072520194.pdf","30725/2019-4")</f>
        <v>30725/2019-4</v>
      </c>
      <c r="D56" s="4">
        <v>45681</v>
      </c>
      <c r="E56" s="16" t="str">
        <f>HYPERLINK("https://www8.mpce.mp.br/Empenhos/150001/Objeto/06-2020.pdf","EMPENHO REF. SERVIÇOS DE NUVEM E TRANSPORTE DE DADOS POR MEIO DO CINTURÃO DIGITAL DO CEARÁ (CDC), CONF. CONTRATO 006/2020, REF. JAN/2025, POR ESTIMATIVA.")</f>
        <v>EMPENHO REF. SERVIÇOS DE NUVEM E TRANSPORTE DE DADOS POR MEIO DO CINTURÃO DIGITAL DO CEARÁ (CDC), CONF. CONTRATO 006/2020, REF. JAN/2025, POR ESTIMATIVA.</v>
      </c>
      <c r="F56" s="2" t="s">
        <v>211</v>
      </c>
      <c r="G56" s="5" t="str">
        <f>HYPERLINK("http://www8.mpce.mp.br/Empenhos/150501/NE/2025NE000088.pdf","2025NE000088")</f>
        <v>2025NE000088</v>
      </c>
      <c r="H56" s="6">
        <v>29990.58</v>
      </c>
      <c r="I56" s="7" t="s">
        <v>51</v>
      </c>
      <c r="J56" s="10" t="s">
        <v>212</v>
      </c>
    </row>
    <row r="57" spans="1:10" x14ac:dyDescent="0.25">
      <c r="A57" s="12" t="s">
        <v>159</v>
      </c>
      <c r="B57" s="2" t="s">
        <v>213</v>
      </c>
      <c r="C57" s="3" t="str">
        <f>HYPERLINK("http://www8.mpce.mp.br/Inexigibilidade/1045920194.pdf","10459/2019-4")</f>
        <v>10459/2019-4</v>
      </c>
      <c r="D57" s="4">
        <v>45681</v>
      </c>
      <c r="E57" s="16" t="str">
        <f>HYPERLINK("https://www8.mpce.mp.br/Empenhos/150001/Objeto/47-2019.pdf","2ª FASE DO ESTUDO DE IMPACTO URBANÍSTICO-AMBIENTAL EM DECORRÊNCIAS DAS OUTORGAS ONEROSAS EM VIAS DE DEFERIMENTO E/OU EFETIVAMENTE DEFERIDAS PELO MUNICÍPIO DE FORTALEZA, REF. AO "&amp;"MÊS DE JANEIRO DE 2025, CONF. CONTRATO Nº 047/2019")</f>
        <v>2ª FASE DO ESTUDO DE IMPACTO URBANÍSTICO-AMBIENTAL EM DECORRÊNCIAS DAS OUTORGAS ONEROSAS EM VIAS DE DEFERIMENTO E/OU EFETIVAMENTE DEFERIDAS PELO MUNICÍPIO DE FORTALEZA, REF. AO MÊS DE JANEIRO DE 2025, CONF. CONTRATO Nº 047/2019</v>
      </c>
      <c r="F57" s="2" t="s">
        <v>214</v>
      </c>
      <c r="G57" s="5" t="str">
        <f>HYPERLINK("http://www8.mpce.mp.br/Empenhos/150501/NE/2025NE000091.pdf","2025NE000091")</f>
        <v>2025NE000091</v>
      </c>
      <c r="H57" s="6">
        <v>13950.86</v>
      </c>
      <c r="I57" s="7" t="s">
        <v>35</v>
      </c>
      <c r="J57" s="10" t="s">
        <v>170</v>
      </c>
    </row>
    <row r="58" spans="1:10" x14ac:dyDescent="0.25">
      <c r="A58" s="12" t="s">
        <v>159</v>
      </c>
      <c r="B58" s="2" t="s">
        <v>215</v>
      </c>
      <c r="C58" s="3" t="str">
        <f>HYPERLINK("http://www8.mpce.mp.br/Inexigibilidade/1045920194.pdf","10459/2019-4")</f>
        <v>10459/2019-4</v>
      </c>
      <c r="D58" s="4">
        <v>45681</v>
      </c>
      <c r="E58" s="16" t="str">
        <f>HYPERLINK("https://www8.mpce.mp.br/Empenhos/150001/Objeto/47-2019.pdf","ESTUDO TÉCNICO DA ÁREA DO LOTEAMENTO DO EMPREENDIMENTO IMOBILIÁRIO LOCALIZADO NAS DUNAS DE SABIAGUABA, NO MUNICÍPIO DE FORTALEZA, CONF. CONTRATO Nº 047/2019, REF. A JANEIRO DE 2025.")</f>
        <v>ESTUDO TÉCNICO DA ÁREA DO LOTEAMENTO DO EMPREENDIMENTO IMOBILIÁRIO LOCALIZADO NAS DUNAS DE SABIAGUABA, NO MUNICÍPIO DE FORTALEZA, CONF. CONTRATO Nº 047/2019, REF. A JANEIRO DE 2025.</v>
      </c>
      <c r="F58" s="2" t="s">
        <v>214</v>
      </c>
      <c r="G58" s="5" t="str">
        <f>HYPERLINK("http://www8.mpce.mp.br/Empenhos/150501/NE/2025NE000092.pdf","2025NE000092")</f>
        <v>2025NE000092</v>
      </c>
      <c r="H58" s="6">
        <v>13183.14</v>
      </c>
      <c r="I58" s="7" t="s">
        <v>35</v>
      </c>
      <c r="J58" s="10" t="s">
        <v>170</v>
      </c>
    </row>
    <row r="59" spans="1:10" x14ac:dyDescent="0.25">
      <c r="A59" s="12" t="s">
        <v>159</v>
      </c>
      <c r="B59" s="2" t="s">
        <v>215</v>
      </c>
      <c r="C59" s="3" t="str">
        <f>HYPERLINK("http://www8.mpce.mp.br/Inexigibilidade/1045920194.pdf","10459/2019-4")</f>
        <v>10459/2019-4</v>
      </c>
      <c r="D59" s="4">
        <v>45681</v>
      </c>
      <c r="E59" s="16" t="str">
        <f>HYPERLINK("https://www8.mpce.mp.br/Empenhos/150001/Objeto/47-2019.pdf","ANÁLISE DE IRREGULARIDADES NA CONTRATAÇÃO DE SERVIÇOS PARA PRESTAÇÃO DE SERVIÇOS DE COLETA DE LIXO DOMICILIAR COM EXPLANAÇÃO DE RESULTADOS À EQUIPE TÉCNICA E ASSESSORIA TÉCNICA "&amp;"PARA RESOLUÇÃO DE DEMANDAS DE OBJETOS SIMILARES, CONF. CONTRATO Nº 047/2019, REF. AO MÊS DE JANEIRO DE 2025.")</f>
        <v>ANÁLISE DE IRREGULARIDADES NA CONTRATAÇÃO DE SERVIÇOS PARA PRESTAÇÃO DE SERVIÇOS DE COLETA DE LIXO DOMICILIAR COM EXPLANAÇÃO DE RESULTADOS À EQUIPE TÉCNICA E ASSESSORIA TÉCNICA PARA RESOLUÇÃO DE DEMANDAS DE OBJETOS SIMILARES, CONF. CONTRATO Nº 047/2019, REF. AO MÊS DE JANEIRO DE 2025.</v>
      </c>
      <c r="F59" s="2" t="s">
        <v>214</v>
      </c>
      <c r="G59" s="5" t="str">
        <f>HYPERLINK("http://www8.mpce.mp.br/Empenhos/150501/NE/2025NE000093.pdf","2025NE000093")</f>
        <v>2025NE000093</v>
      </c>
      <c r="H59" s="6">
        <v>8518.77</v>
      </c>
      <c r="I59" s="7" t="s">
        <v>35</v>
      </c>
      <c r="J59" s="10" t="s">
        <v>170</v>
      </c>
    </row>
    <row r="60" spans="1:10" x14ac:dyDescent="0.25">
      <c r="A60" s="12" t="s">
        <v>159</v>
      </c>
      <c r="B60" s="2" t="s">
        <v>215</v>
      </c>
      <c r="C60" s="3" t="str">
        <f>HYPERLINK("http://www8.mpce.mp.br/Inexigibilidade/1045920194.pdf","10459/2019-4")</f>
        <v>10459/2019-4</v>
      </c>
      <c r="D60" s="4">
        <v>45681</v>
      </c>
      <c r="E60" s="16" t="str">
        <f>HYPERLINK("https://www8.mpce.mp.br/Empenhos/150001/Objeto/47-2019.pdf","AFERIÇÃO DE FRENAGEM DOS VEÍCULOS LEVE SOBRE OS TRILHOS - VLT´S EM FORTALEZA, CONF. CONTRATO Nº 047/2019, REF. AO MÊS DE JANEIRO DE 2025.")</f>
        <v>AFERIÇÃO DE FRENAGEM DOS VEÍCULOS LEVE SOBRE OS TRILHOS - VLT´S EM FORTALEZA, CONF. CONTRATO Nº 047/2019, REF. AO MÊS DE JANEIRO DE 2025.</v>
      </c>
      <c r="F60" s="2" t="s">
        <v>214</v>
      </c>
      <c r="G60" s="5" t="str">
        <f>HYPERLINK("http://www8.mpce.mp.br/Empenhos/150501/NE/2025NE000094.pdf","2025NE000094")</f>
        <v>2025NE000094</v>
      </c>
      <c r="H60" s="6">
        <v>5067.43</v>
      </c>
      <c r="I60" s="7" t="s">
        <v>35</v>
      </c>
      <c r="J60" s="10" t="s">
        <v>170</v>
      </c>
    </row>
    <row r="61" spans="1:10" x14ac:dyDescent="0.25">
      <c r="A61" s="12" t="s">
        <v>159</v>
      </c>
      <c r="B61" s="2" t="s">
        <v>215</v>
      </c>
      <c r="C61" s="3" t="str">
        <f>HYPERLINK("http://www8.mpce.mp.br/Inexigibilidade/1045920194.pdf","10459/2019-4")</f>
        <v>10459/2019-4</v>
      </c>
      <c r="D61" s="4">
        <v>45681</v>
      </c>
      <c r="E61" s="16" t="str">
        <f>HYPERLINK("https://www8.mpce.mp.br/Empenhos/150001/Objeto/47-2019.pdf","PERÍCIA E FISCALIZAÇÃO DE 14 ÔNIBUS QUE ESTIVEREM NO TERMINAL RODOVIÁRIO ENGENHEIRO JOÃO THOMÉ PARA CONFIRMAÇÃO DA PRESENÇA DE DISPOSITIVO DE TRANSPOSIÇÃO DE FRONTEIRA E CONFIRM"&amp;"AÇÃO DO ATENDIMENTO ÀS NORMAS TÉCNICAS DE ACESSIBILIDADE, CONF. CONTRATO Nº 047/2019, REF. AOS MESES DE JANEIRO A JULHO DE 2025.")</f>
        <v>PERÍCIA E FISCALIZAÇÃO DE 14 ÔNIBUS QUE ESTIVEREM NO TERMINAL RODOVIÁRIO ENGENHEIRO JOÃO THOMÉ PARA CONFIRMAÇÃO DA PRESENÇA DE DISPOSITIVO DE TRANSPOSIÇÃO DE FRONTEIRA E CONFIRMAÇÃO DO ATENDIMENTO ÀS NORMAS TÉCNICAS DE ACESSIBILIDADE, CONF. CONTRATO Nº 047/2019, REF. AOS MESES DE JANEIRO A JULHO DE 2025.</v>
      </c>
      <c r="F61" s="2" t="s">
        <v>214</v>
      </c>
      <c r="G61" s="5" t="str">
        <f>HYPERLINK("http://www8.mpce.mp.br/Empenhos/150501/NE/2025NE000095.pdf","2025NE000095")</f>
        <v>2025NE000095</v>
      </c>
      <c r="H61" s="6">
        <v>26082</v>
      </c>
      <c r="I61" s="7" t="s">
        <v>35</v>
      </c>
      <c r="J61" s="10" t="s">
        <v>170</v>
      </c>
    </row>
    <row r="62" spans="1:10" x14ac:dyDescent="0.25">
      <c r="A62" s="12" t="s">
        <v>159</v>
      </c>
      <c r="B62" s="2" t="s">
        <v>215</v>
      </c>
      <c r="C62" s="3" t="str">
        <f>HYPERLINK("http://www8.mpce.mp.br/Inexigibilidade/1045920194.pdf","10459/2019-4")</f>
        <v>10459/2019-4</v>
      </c>
      <c r="D62" s="4">
        <v>45681</v>
      </c>
      <c r="E62" s="16" t="str">
        <f>HYPERLINK("https://www8.mpce.mp.br/Empenhos/150001/Objeto/47-2019.pdf","REALIZAÇÃO DE PERÍCIA NA ÁGUA FORNECIDA EM 05 ESCOLAS DO MUNICÍPIO DE NOVA OLINDA-CE, COM O DESIDERATO DE ATESTAR SUA ADEQUAÇÃO OU IMPROPRIEDADE AO CONSUMO HUMANO, CONF. CONTRAT"&amp;"O Nº 047/2019, REF. AOS MESES DE JANEIRO A JULHO DE 2025.")</f>
        <v>REALIZAÇÃO DE PERÍCIA NA ÁGUA FORNECIDA EM 05 ESCOLAS DO MUNICÍPIO DE NOVA OLINDA-CE, COM O DESIDERATO DE ATESTAR SUA ADEQUAÇÃO OU IMPROPRIEDADE AO CONSUMO HUMANO, CONF. CONTRATO Nº 047/2019, REF. AOS MESES DE JANEIRO A JULHO DE 2025.</v>
      </c>
      <c r="F62" s="2" t="s">
        <v>214</v>
      </c>
      <c r="G62" s="5" t="str">
        <f>HYPERLINK("http://www8.mpce.mp.br/Empenhos/150501/NE/2025NE000096.pdf","2025NE000096")</f>
        <v>2025NE000096</v>
      </c>
      <c r="H62" s="6">
        <v>8510</v>
      </c>
      <c r="I62" s="7" t="s">
        <v>35</v>
      </c>
      <c r="J62" s="10" t="s">
        <v>170</v>
      </c>
    </row>
    <row r="63" spans="1:10" x14ac:dyDescent="0.25">
      <c r="A63" s="12" t="s">
        <v>159</v>
      </c>
      <c r="B63" s="2" t="s">
        <v>216</v>
      </c>
      <c r="C63" s="3" t="str">
        <f>HYPERLINK("https://transparencia-area-fim.mpce.mp.br/#/consulta/processo/pastadigital/092021000204268","09.2021.00020426-8")</f>
        <v>09.2021.00020426-8</v>
      </c>
      <c r="D63" s="4">
        <v>45680</v>
      </c>
      <c r="E63" s="16" t="str">
        <f>HYPERLINK("https://www8.mpce.mp.br/Empenhos/150001/Objeto/36-2021.pdf","DOI REGISTRADO E SIMILARITY CHECK (VERIFICADOR DE PLÁGIO), CONF. CONTRATO Nº 036/2021, REF. AO ANO DE 2025, POR ESTIMATIVA.")</f>
        <v>DOI REGISTRADO E SIMILARITY CHECK (VERIFICADOR DE PLÁGIO), CONF. CONTRATO Nº 036/2021, REF. AO ANO DE 2025, POR ESTIMATIVA.</v>
      </c>
      <c r="F63" s="2" t="s">
        <v>214</v>
      </c>
      <c r="G63" s="5" t="str">
        <f>HYPERLINK("http://www8.mpce.mp.br/Empenhos/150001/NE/2025NE000105.pdf","2025NE000105")</f>
        <v>2025NE000105</v>
      </c>
      <c r="H63" s="6">
        <v>463.6</v>
      </c>
      <c r="I63" s="7" t="s">
        <v>52</v>
      </c>
      <c r="J63" s="10" t="s">
        <v>217</v>
      </c>
    </row>
    <row r="64" spans="1:10" x14ac:dyDescent="0.25">
      <c r="A64" s="12" t="s">
        <v>19</v>
      </c>
      <c r="B64" s="2" t="s">
        <v>187</v>
      </c>
      <c r="C64" s="3" t="str">
        <f>HYPERLINK("https://transparencia-area-fim.mpce.mp.br/#/consulta/processo/pastadigital/092023000338552","09.2023.00033855-2")</f>
        <v>09.2023.00033855-2</v>
      </c>
      <c r="D64" s="4">
        <v>45681</v>
      </c>
      <c r="E64" s="16" t="str">
        <f>HYPERLINK("https://www8.mpce.mp.br/Empenhos/150001/Objeto/17-2024.pdf","EMPENHO REF. ALUGUEL DE IMÓVEL ONDE FUNCIONA SEDE DE PROMOTORIAS DE JUSTIÇA DA COMARCA DE MARANGUAPE, CONF. CONTRATO 017/2024, REF. JAN/2025, POR ESTIMATIVA.")</f>
        <v>EMPENHO REF. ALUGUEL DE IMÓVEL ONDE FUNCIONA SEDE DE PROMOTORIAS DE JUSTIÇA DA COMARCA DE MARANGUAPE, CONF. CONTRATO 017/2024, REF. JAN/2025, POR ESTIMATIVA.</v>
      </c>
      <c r="F64" s="2" t="s">
        <v>130</v>
      </c>
      <c r="G64" s="5" t="str">
        <f>HYPERLINK("http://www8.mpce.mp.br/Empenhos/150501/NE/2025NE000110.pdf","2025NE000110")</f>
        <v>2025NE000110</v>
      </c>
      <c r="H64" s="6">
        <v>18000</v>
      </c>
      <c r="I64" s="7" t="s">
        <v>218</v>
      </c>
      <c r="J64" s="10" t="s">
        <v>219</v>
      </c>
    </row>
    <row r="65" spans="1:10" x14ac:dyDescent="0.25">
      <c r="A65" s="12" t="s">
        <v>159</v>
      </c>
      <c r="B65" s="2" t="s">
        <v>220</v>
      </c>
      <c r="C65" s="3" t="str">
        <f>HYPERLINK("https://transparencia-area-fim.mpce.mp.br/#/consulta/processo/pastadigital/092024000035957","09.2024.00003595-7")</f>
        <v>09.2024.00003595-7</v>
      </c>
      <c r="D65" s="4">
        <v>45706</v>
      </c>
      <c r="E65" s="16" t="str">
        <f>HYPERLINK("https://www8.mpce.mp.br/Empenhos/150001/Objeto/21-2024.pdf","EMPENHO REF. TREINAMENTO PRESENCIAL EM MEDIA TRAINING, 4 ENCONTROS, PARA ATÉ 10 PESSOAS + TREINAMENTO PRESENCIAL EM SPEAKER TRAINING, 5 ENCONTROS, PARA ATÉ 40 PESSOAS, (8H/A POR"&amp;" ENCONTRO), POR MEIO DE INEXIGIBILIDADE DE LICITAÇÃO, CONF. CONTRATO 021/2024, REF. 2025, POR ESTIMATIVA.")</f>
        <v>EMPENHO REF. TREINAMENTO PRESENCIAL EM MEDIA TRAINING, 4 ENCONTROS, PARA ATÉ 10 PESSOAS + TREINAMENTO PRESENCIAL EM SPEAKER TRAINING, 5 ENCONTROS, PARA ATÉ 40 PESSOAS, (8H/A POR ENCONTRO), POR MEIO DE INEXIGIBILIDADE DE LICITAÇÃO, CONF. CONTRATO 021/2024, REF. 2025, POR ESTIMATIVA.</v>
      </c>
      <c r="F65" s="2" t="s">
        <v>221</v>
      </c>
      <c r="G65" s="5" t="str">
        <f>HYPERLINK("http://www8.mpce.mp.br/Empenhos/150501/NE/2025NE000118.pdf","2025NE000118")</f>
        <v>2025NE000118</v>
      </c>
      <c r="H65" s="6">
        <v>71280</v>
      </c>
      <c r="I65" s="7" t="s">
        <v>222</v>
      </c>
      <c r="J65" s="10" t="s">
        <v>223</v>
      </c>
    </row>
    <row r="66" spans="1:10" x14ac:dyDescent="0.25">
      <c r="A66" s="12" t="s">
        <v>159</v>
      </c>
      <c r="B66" s="2" t="s">
        <v>224</v>
      </c>
      <c r="C66" s="3" t="str">
        <f>HYPERLINK("https://transparencia-area-fim.mpce.mp.br/#/consulta/processo/pastadigital/092024000026236","09.2024.00002623-6")</f>
        <v>09.2024.00002623-6</v>
      </c>
      <c r="D66" s="4">
        <v>45680</v>
      </c>
      <c r="E66" s="16" t="str">
        <f>HYPERLINK("https://www8.mpce.mp.br/Empenhos/150001/Objeto/18-2024.pdf","FORNECIMENTO DE VALES-TRANSPORTES URBANOS E METROPOLITANOS, EM FAVOR DE 06 (SEIS) SERVIDORES DESTE MPCE, CONF. CONTRATO 018/2024, REF. FEV A DEZ/2025, POR ESTIMATIVA.SERVIDORES "&amp;"CONTEMPLADOS:1. ELCIANE NARCÍSIO PINHEIRO;2. FRANCISCO ÍCARO LOPES DA SILVA;3. JULIANA RIBEIRO LINS;4. KLAYLTON DA SILVA LIMA;5. LORENA SARAIVA SILVA;6. WILLIA SOARES LOPES.")</f>
        <v>FORNECIMENTO DE VALES-TRANSPORTES URBANOS E METROPOLITANOS, EM FAVOR DE 06 (SEIS) SERVIDORES DESTE MPCE, CONF. CONTRATO 018/2024, REF. FEV A DEZ/2025, POR ESTIMATIVA.SERVIDORES CONTEMPLADOS:1. ELCIANE NARCÍSIO PINHEIRO;2. FRANCISCO ÍCARO LOPES DA SILVA;3. JULIANA RIBEIRO LINS;4. KLAYLTON DA SILVA LIMA;5. LORENA SARAIVA SILVA;6. WILLIA SOARES LOPES.</v>
      </c>
      <c r="F66" s="2" t="s">
        <v>225</v>
      </c>
      <c r="G66" s="5" t="str">
        <f>HYPERLINK("http://www8.mpce.mp.br/Empenhos/150001/NE/2025NE000121.pdf","2025NE000121")</f>
        <v>2025NE000121</v>
      </c>
      <c r="H66" s="6">
        <v>30003</v>
      </c>
      <c r="I66" s="7" t="s">
        <v>53</v>
      </c>
      <c r="J66" s="10" t="s">
        <v>226</v>
      </c>
    </row>
    <row r="67" spans="1:10" x14ac:dyDescent="0.25">
      <c r="A67" s="12" t="s">
        <v>159</v>
      </c>
      <c r="B67" s="2" t="s">
        <v>227</v>
      </c>
      <c r="C67" s="3" t="str">
        <f>HYPERLINK("https://transparencia-area-fim.mpce.mp.br/#/consulta/processo/pastadigital/092023000287946","09.2023.00028794-6")</f>
        <v>09.2023.00028794-6</v>
      </c>
      <c r="D67" s="4">
        <v>45681</v>
      </c>
      <c r="E67" s="16" t="str">
        <f>HYPERLINK("https://www8.mpce.mp.br/Empenhos/150001/Objeto/59-2023.pdf","LICENÇA DE SOFTWARE, REF. AO MESES DE JAN., FEV. E MARÇO DE 2025, CONF. CONTRATO Nº 059/2023.")</f>
        <v>LICENÇA DE SOFTWARE, REF. AO MESES DE JAN., FEV. E MARÇO DE 2025, CONF. CONTRATO Nº 059/2023.</v>
      </c>
      <c r="F67" s="2" t="s">
        <v>228</v>
      </c>
      <c r="G67" s="5" t="str">
        <f>HYPERLINK("http://www8.mpce.mp.br/Empenhos/150501/NE/2025NE000127.pdf","2025NE000127")</f>
        <v>2025NE000127</v>
      </c>
      <c r="H67" s="6">
        <v>7594.5</v>
      </c>
      <c r="I67" s="7" t="s">
        <v>54</v>
      </c>
      <c r="J67" s="10" t="s">
        <v>229</v>
      </c>
    </row>
    <row r="68" spans="1:10" x14ac:dyDescent="0.25">
      <c r="A68" s="12" t="s">
        <v>19</v>
      </c>
      <c r="B68" s="2" t="s">
        <v>230</v>
      </c>
      <c r="C68" s="3" t="str">
        <f>HYPERLINK("https://transparencia-area-fim.mpce.mp.br/#/consulta/processo/pastadigital/092023000117363","09.2023.00011736-3")</f>
        <v>09.2023.00011736-3</v>
      </c>
      <c r="D68" s="4">
        <v>45681</v>
      </c>
      <c r="E68" s="16" t="str">
        <f>HYPERLINK("https://www8.mpce.mp.br/Empenhos/150001/Objeto/32-2023.pdf","PRESTAÇÃO DE SERVIÇOS CONTINUADOS PARA OS FIREWALLS UTMS -DISPONIBILIZAÇÃO DE SOLUÇÃO TECNOLÓGICA NA MODALIDADE SOFTWARE COMO SERVIÇO (SAAS) PARA GESTÃO INTEGRADA DE ESTRATÉGIA,"&amp;" PORTFÓLIO, PROJETOS, TAREFAS, REUNIÕES INDICADORES E PROCESSOS, CONF. CONTRATO Nº 032/2023, REF. AO MÊS DE JANEIRO DE 2025.")</f>
        <v>PRESTAÇÃO DE SERVIÇOS CONTINUADOS PARA OS FIREWALLS UTMS -DISPONIBILIZAÇÃO DE SOLUÇÃO TECNOLÓGICA NA MODALIDADE SOFTWARE COMO SERVIÇO (SAAS) PARA GESTÃO INTEGRADA DE ESTRATÉGIA, PORTFÓLIO, PROJETOS, TAREFAS, REUNIÕES INDICADORES E PROCESSOS, CONF. CONTRATO Nº 032/2023, REF. AO MÊS DE JANEIRO DE 2025.</v>
      </c>
      <c r="F68" s="2" t="s">
        <v>231</v>
      </c>
      <c r="G68" s="5" t="str">
        <f>HYPERLINK("http://www8.mpce.mp.br/Empenhos/150501/NE/2025NE000133.pdf","2025NE000133")</f>
        <v>2025NE000133</v>
      </c>
      <c r="H68" s="6">
        <v>6216.42</v>
      </c>
      <c r="I68" s="7" t="s">
        <v>51</v>
      </c>
      <c r="J68" s="10" t="s">
        <v>212</v>
      </c>
    </row>
    <row r="69" spans="1:10" x14ac:dyDescent="0.25">
      <c r="A69" s="12" t="s">
        <v>19</v>
      </c>
      <c r="B69" s="2" t="s">
        <v>187</v>
      </c>
      <c r="C69" s="3" t="str">
        <f>HYPERLINK("https://transparencia-area-fim.mpce.mp.br/#/consulta/processo/pastadigital/092022000343840","09.2022.00034384-0")</f>
        <v>09.2022.00034384-0</v>
      </c>
      <c r="D69" s="4">
        <v>45681</v>
      </c>
      <c r="E69" s="16" t="str">
        <f>HYPERLINK("https://www8.mpce.mp.br/Empenhos/150001/Objeto/11-2023.pdf","EMPENHO REF. ALUGUEL DE IMÓVEL ONDE FUNCIONA SEDE DE PROMOTORIAS DE JUSTIÇA DA COMARCA DE SANTA QUITÉRIA, CONF. CONTRATO 011/2023, REF. JAN/2025, POR ESTIMATIVA.")</f>
        <v>EMPENHO REF. ALUGUEL DE IMÓVEL ONDE FUNCIONA SEDE DE PROMOTORIAS DE JUSTIÇA DA COMARCA DE SANTA QUITÉRIA, CONF. CONTRATO 011/2023, REF. JAN/2025, POR ESTIMATIVA.</v>
      </c>
      <c r="F69" s="2" t="s">
        <v>130</v>
      </c>
      <c r="G69" s="5" t="str">
        <f>HYPERLINK("http://www8.mpce.mp.br/Empenhos/150501/NE/2025NE000145.pdf","2025NE000145")</f>
        <v>2025NE000145</v>
      </c>
      <c r="H69" s="6">
        <v>13200</v>
      </c>
      <c r="I69" s="7" t="s">
        <v>55</v>
      </c>
      <c r="J69" s="10" t="s">
        <v>232</v>
      </c>
    </row>
    <row r="70" spans="1:10" x14ac:dyDescent="0.25">
      <c r="A70" s="12" t="s">
        <v>19</v>
      </c>
      <c r="B70" s="2" t="s">
        <v>187</v>
      </c>
      <c r="C70" s="3" t="str">
        <f>HYPERLINK("http://www8.mpce.mp.br/Dispensa/4793720162.pdf","4793720162")</f>
        <v>4793720162</v>
      </c>
      <c r="D70" s="4">
        <v>45681</v>
      </c>
      <c r="E70" s="16" t="str">
        <f>HYPERLINK("https://www8.mpce.mp.br/Empenhos/150001/Objeto/14-2017.pdf","EMPENHO REF. ALUGUEL DE IMÓVEL ONDE FUNCIONA GALPÃO DO ALMOXARIFADO E PATRIMÔNIO DA PGJ, CONF. CONTRATO 014/2017, REF. JAN/2025, POR ESTIMATIVA.")</f>
        <v>EMPENHO REF. ALUGUEL DE IMÓVEL ONDE FUNCIONA GALPÃO DO ALMOXARIFADO E PATRIMÔNIO DA PGJ, CONF. CONTRATO 014/2017, REF. JAN/2025, POR ESTIMATIVA.</v>
      </c>
      <c r="F70" s="2" t="s">
        <v>130</v>
      </c>
      <c r="G70" s="5" t="str">
        <f>HYPERLINK("http://www8.mpce.mp.br/Empenhos/150501/NE/2025NE000147.pdf","2025NE000147")</f>
        <v>2025NE000147</v>
      </c>
      <c r="H70" s="6">
        <v>22143.48</v>
      </c>
      <c r="I70" s="7" t="s">
        <v>30</v>
      </c>
      <c r="J70" s="10" t="s">
        <v>161</v>
      </c>
    </row>
    <row r="71" spans="1:10" x14ac:dyDescent="0.25">
      <c r="A71" s="12" t="s">
        <v>159</v>
      </c>
      <c r="B71" s="2" t="s">
        <v>220</v>
      </c>
      <c r="C71" s="3" t="str">
        <f>HYPERLINK("https://transparencia-area-fim.mpce.mp.br/#/consulta/processo/pastadigital/092025000007198","09.2025.00000719-8")</f>
        <v>09.2025.00000719-8</v>
      </c>
      <c r="D71" s="4">
        <v>45681</v>
      </c>
      <c r="E71" s="16" t="str">
        <f>HYPERLINK("https://www8.mpce.mp.br/Empenhos/150001/Objeto/-2024-1.pdf","EMPENHO REF. MANUTENÇÃO E CONSERVAÇÃO DE EQUIPAMENTOS DE PROCESSAMENTO DE DADOS, CONF. CONTRATO 003/2024, REF. EXERCÍCIO 2025, POR ESTIMATIVA.")</f>
        <v>EMPENHO REF. MANUTENÇÃO E CONSERVAÇÃO DE EQUIPAMENTOS DE PROCESSAMENTO DE DADOS, CONF. CONTRATO 003/2024, REF. EXERCÍCIO 2025, POR ESTIMATIVA.</v>
      </c>
      <c r="F71" s="2" t="s">
        <v>233</v>
      </c>
      <c r="G71" s="5" t="str">
        <f>HYPERLINK("http://www8.mpce.mp.br/Empenhos/150501/NE/2025NE000150.pdf","2025NE000150")</f>
        <v>2025NE000150</v>
      </c>
      <c r="H71" s="6">
        <v>50011.5</v>
      </c>
      <c r="I71" s="7" t="s">
        <v>56</v>
      </c>
      <c r="J71" s="10" t="s">
        <v>234</v>
      </c>
    </row>
    <row r="72" spans="1:10" x14ac:dyDescent="0.25">
      <c r="A72" s="12" t="s">
        <v>19</v>
      </c>
      <c r="B72" s="2" t="s">
        <v>210</v>
      </c>
      <c r="C72" s="3" t="str">
        <f>HYPERLINK("http://www8.mpce.mp.br/Dispensa/3072520194.pdf","30725/2019-4")</f>
        <v>30725/2019-4</v>
      </c>
      <c r="D72" s="4">
        <v>45684</v>
      </c>
      <c r="E72" s="16" t="str">
        <f>HYPERLINK("https://www8.mpce.mp.br/Empenhos/150001/Objeto/06-2020.pdf","EMPENHO REF. SERVIÇOS DE NUVEM E TRANSPORTE DE DADOS POR MEIO DO CINTURÃO DIGITAL DO CEARÁ (CDC), CONF. CONTRATO 006/2020, TERMO DE RECONHECIMENTO DE DÍVIDA Nº 0008/2025/SEFIN E"&amp;" DEA 2025NP000023, REF. DEZ/2024.")</f>
        <v>EMPENHO REF. SERVIÇOS DE NUVEM E TRANSPORTE DE DADOS POR MEIO DO CINTURÃO DIGITAL DO CEARÁ (CDC), CONF. CONTRATO 006/2020, TERMO DE RECONHECIMENTO DE DÍVIDA Nº 0008/2025/SEFIN E DEA 2025NP000023, REF. DEZ/2024.</v>
      </c>
      <c r="F72" s="2" t="s">
        <v>235</v>
      </c>
      <c r="G72" s="5" t="str">
        <f>HYPERLINK("http://www8.mpce.mp.br/Empenhos/150501/NE/2025NE000153.pdf","2025NE000153")</f>
        <v>2025NE000153</v>
      </c>
      <c r="H72" s="6">
        <v>9554.89</v>
      </c>
      <c r="I72" s="7" t="s">
        <v>51</v>
      </c>
      <c r="J72" s="10" t="s">
        <v>212</v>
      </c>
    </row>
    <row r="73" spans="1:10" x14ac:dyDescent="0.25">
      <c r="A73" s="12" t="s">
        <v>19</v>
      </c>
      <c r="B73" s="2" t="s">
        <v>236</v>
      </c>
      <c r="C73" s="3" t="str">
        <f>HYPERLINK("https://transparencia-area-fim.mpce.mp.br/#/consulta/processo/pastadigital/092024000322386","09.2024.00032238-6")</f>
        <v>09.2024.00032238-6</v>
      </c>
      <c r="D73" s="4">
        <v>45685</v>
      </c>
      <c r="E73" s="16" t="s">
        <v>237</v>
      </c>
      <c r="F73" s="2" t="s">
        <v>238</v>
      </c>
      <c r="G73" s="5" t="str">
        <f>HYPERLINK("http://www8.mpce.mp.br/Empenhos/150501/NE/2025NE000158.pdf","2025NE000158")</f>
        <v>2025NE000158</v>
      </c>
      <c r="H73" s="6">
        <v>12800</v>
      </c>
      <c r="I73" s="7" t="s">
        <v>239</v>
      </c>
      <c r="J73" s="10" t="s">
        <v>240</v>
      </c>
    </row>
    <row r="74" spans="1:10" x14ac:dyDescent="0.25">
      <c r="A74" s="12" t="s">
        <v>159</v>
      </c>
      <c r="B74" s="2" t="s">
        <v>241</v>
      </c>
      <c r="C74" s="3" t="str">
        <f>HYPERLINK("https://transparencia-area-fim.mpce.mp.br/#/consulta/processo/pastadigital/092023000385590","09.2023.00038559-0")</f>
        <v>09.2023.00038559-0</v>
      </c>
      <c r="D74" s="4">
        <v>45686</v>
      </c>
      <c r="E74" s="16" t="str">
        <f>HYPERLINK("https://www8.mpce.mp.br/Empenhos/150001/Objeto/25-2024.pdf","LICENÇAS DE ACESSO ÀS PLATAFORMAS DE SAÚDE FÍSICA (WELLHUB) E MENTAL (WELLZ), PARA MEMBROS E SERVIDORES DO MP DO CEARÁ, CONF. CONTRATO Nº 025/2024,  REF. AO MÊS DE JANEIRO DE2025.")</f>
        <v>LICENÇAS DE ACESSO ÀS PLATAFORMAS DE SAÚDE FÍSICA (WELLHUB) E MENTAL (WELLZ), PARA MEMBROS E SERVIDORES DO MP DO CEARÁ, CONF. CONTRATO Nº 025/2024,  REF. AO MÊS DE JANEIRO DE2025.</v>
      </c>
      <c r="F74" s="2" t="s">
        <v>228</v>
      </c>
      <c r="G74" s="5" t="str">
        <f>HYPERLINK("http://www8.mpce.mp.br/Empenhos/150501/NE/2025NE000168.pdf","2025NE000168")</f>
        <v>2025NE000168</v>
      </c>
      <c r="H74" s="6">
        <v>51500</v>
      </c>
      <c r="I74" s="7" t="s">
        <v>57</v>
      </c>
      <c r="J74" s="10" t="s">
        <v>242</v>
      </c>
    </row>
    <row r="75" spans="1:10" x14ac:dyDescent="0.25">
      <c r="A75" s="12" t="s">
        <v>19</v>
      </c>
      <c r="B75" s="2" t="s">
        <v>243</v>
      </c>
      <c r="C75" s="3" t="str">
        <f>HYPERLINK("https://transparencia-area-fim.mpce.mp.br/#/consulta/processo/pastadigital/092023000388810","09.2023.00038881-0")</f>
        <v>09.2023.00038881-0</v>
      </c>
      <c r="D75" s="4">
        <v>45686</v>
      </c>
      <c r="E75" s="16" t="str">
        <f>HYPERLINK("https://www8.mpce.mp.br/Empenhos/150001/Objeto/22-2024.pdf","EMPENHO REF. SERVIÇOS DE SOLUÇÃO EM NUVEM DE PROTEÇÃO, GESTÃO, AVALIAÇÃO DE POSTURA E CONECTIVIDADE PARA NUVEM, INCLUINDO IMPLANTAÇÃO, MONITORAMENTO E SUPORTE TÉCNICO, CONF. CON"&amp;"TRATO 022/2024, REF. JAN/2025, POR ESTIMATIVA.")</f>
        <v>EMPENHO REF. SERVIÇOS DE SOLUÇÃO EM NUVEM DE PROTEÇÃO, GESTÃO, AVALIAÇÃO DE POSTURA E CONECTIVIDADE PARA NUVEM, INCLUINDO IMPLANTAÇÃO, MONITORAMENTO E SUPORTE TÉCNICO, CONF. CONTRATO 022/2024, REF. JAN/2025, POR ESTIMATIVA.</v>
      </c>
      <c r="F75" s="2" t="s">
        <v>211</v>
      </c>
      <c r="G75" s="5" t="str">
        <f>HYPERLINK("http://www8.mpce.mp.br/Empenhos/150501/NE/2025NE000172.pdf","2025NE000172")</f>
        <v>2025NE000172</v>
      </c>
      <c r="H75" s="6">
        <v>35718.5</v>
      </c>
      <c r="I75" s="7" t="s">
        <v>51</v>
      </c>
      <c r="J75" s="10" t="s">
        <v>212</v>
      </c>
    </row>
    <row r="76" spans="1:10" x14ac:dyDescent="0.25">
      <c r="A76" s="12" t="s">
        <v>19</v>
      </c>
      <c r="B76" s="2" t="s">
        <v>244</v>
      </c>
      <c r="C76" s="3" t="str">
        <f>HYPERLINK("https://transparencia-area-fim.mpce.mp.br/#/consulta/processo/pastadigital/092021000157125","09.2021.00015712-5")</f>
        <v>09.2021.00015712-5</v>
      </c>
      <c r="D76" s="4">
        <v>45687</v>
      </c>
      <c r="E76" s="16" t="str">
        <f>HYPERLINK("https://www8.mpce.mp.br/Empenhos/150001/Objeto/32-2021.pdf","SEGURO DE VIDA DOS ESTAGIÁRIOS, CONF. CONTRATO Nº 32/2021, REF. AOS MESES DE JANEIRO A MARÇO DE2025.")</f>
        <v>SEGURO DE VIDA DOS ESTAGIÁRIOS, CONF. CONTRATO Nº 32/2021, REF. AOS MESES DE JANEIRO A MARÇO DE2025.</v>
      </c>
      <c r="F76" s="2" t="s">
        <v>245</v>
      </c>
      <c r="G76" s="5" t="str">
        <f>HYPERLINK("http://www8.mpce.mp.br/Empenhos/150501/NE/2025NE000197.pdf","2025NE000197")</f>
        <v>2025NE000197</v>
      </c>
      <c r="H76" s="6">
        <v>541.20000000000005</v>
      </c>
      <c r="I76" s="7" t="s">
        <v>58</v>
      </c>
      <c r="J76" s="10" t="s">
        <v>246</v>
      </c>
    </row>
    <row r="77" spans="1:10" x14ac:dyDescent="0.25">
      <c r="A77" s="12" t="s">
        <v>159</v>
      </c>
      <c r="B77" s="2" t="s">
        <v>247</v>
      </c>
      <c r="C77" s="3" t="str">
        <f>HYPERLINK("https://transparencia-area-fim.mpce.mp.br/#/consulta/processo/pastadigital/092021000000456","09.2021.00000045-6")</f>
        <v>09.2021.00000045-6</v>
      </c>
      <c r="D77" s="4">
        <v>45688</v>
      </c>
      <c r="E77" s="16" t="str">
        <f>HYPERLINK("https://www8.mpce.mp.br/Empenhos/150001/Objeto/02-2021.pdf","PRESTAÇÃO DE SERVIÇO DE SUPORTE TÉCNICO DA SOLUÇÃO GUARDIÃO WEB-BY NGC, CONF. CONTRATO Nº 002/2021, REF. AO MÊS DE JANEIRO DE 2025.")</f>
        <v>PRESTAÇÃO DE SERVIÇO DE SUPORTE TÉCNICO DA SOLUÇÃO GUARDIÃO WEB-BY NGC, CONF. CONTRATO Nº 002/2021, REF. AO MÊS DE JANEIRO DE 2025.</v>
      </c>
      <c r="F77" s="2" t="s">
        <v>248</v>
      </c>
      <c r="G77" s="5" t="str">
        <f>HYPERLINK("http://www8.mpce.mp.br/Empenhos/150501/NE/2025NE000198.pdf","2025NE000198")</f>
        <v>2025NE000198</v>
      </c>
      <c r="H77" s="6">
        <v>18883.91</v>
      </c>
      <c r="I77" s="7" t="s">
        <v>59</v>
      </c>
      <c r="J77" s="10" t="s">
        <v>249</v>
      </c>
    </row>
    <row r="78" spans="1:10" x14ac:dyDescent="0.25">
      <c r="A78" s="12" t="s">
        <v>159</v>
      </c>
      <c r="B78" s="2" t="s">
        <v>253</v>
      </c>
      <c r="C78" s="3" t="str">
        <f>HYPERLINK("https://transparencia-area-fim.mpce.mp.br/#/consulta/processo/pastadigital/092025000017930","09.2025.00001793-0")</f>
        <v>09.2025.00001793-0</v>
      </c>
      <c r="D78" s="4">
        <v>45685</v>
      </c>
      <c r="E78" s="16" t="s">
        <v>254</v>
      </c>
      <c r="F78" s="2" t="s">
        <v>255</v>
      </c>
      <c r="G78" s="5" t="str">
        <f>HYPERLINK("http://www8.mpce.mp.br/Empenhos/150001/NE/2025NE000210.pdf","2025NE000210")</f>
        <v>2025NE000210</v>
      </c>
      <c r="H78" s="6">
        <v>278.85000000000002</v>
      </c>
      <c r="I78" s="7" t="s">
        <v>61</v>
      </c>
      <c r="J78" s="10" t="s">
        <v>256</v>
      </c>
    </row>
    <row r="79" spans="1:10" x14ac:dyDescent="0.25">
      <c r="A79" s="12" t="s">
        <v>19</v>
      </c>
      <c r="B79" s="2" t="s">
        <v>250</v>
      </c>
      <c r="C79" s="3" t="str">
        <f>HYPERLINK("https://transparencia-area-fim.mpce.mp.br/#/consulta/processo/pastadigital/092024000159002","09.2024.00015900-2")</f>
        <v>09.2024.00015900-2</v>
      </c>
      <c r="D79" s="4">
        <v>45693</v>
      </c>
      <c r="E79" s="16" t="str">
        <f>HYPERLINK("https://www8.mpce.mp.br/Empenhos/150001/Objeto/39-2024.pdf","EMPENHO REF. LOCAÇÃO DE NOBREAK DE 3 KVA, CONF. CONTRATO 039/2024, REF. JAN E FEV/2025, POR ESTIMATIVA.")</f>
        <v>EMPENHO REF. LOCAÇÃO DE NOBREAK DE 3 KVA, CONF. CONTRATO 039/2024, REF. JAN E FEV/2025, POR ESTIMATIVA.</v>
      </c>
      <c r="F79" s="2" t="s">
        <v>251</v>
      </c>
      <c r="G79" s="5" t="str">
        <f>HYPERLINK("http://www8.mpce.mp.br/Empenhos/150501/NE/2025NE000210.pdf","2025NE000210")</f>
        <v>2025NE000210</v>
      </c>
      <c r="H79" s="6">
        <v>18000</v>
      </c>
      <c r="I79" s="7" t="s">
        <v>60</v>
      </c>
      <c r="J79" s="10" t="s">
        <v>252</v>
      </c>
    </row>
    <row r="80" spans="1:10" x14ac:dyDescent="0.25">
      <c r="A80" s="12" t="s">
        <v>19</v>
      </c>
      <c r="B80" s="2" t="s">
        <v>257</v>
      </c>
      <c r="C80" s="3" t="str">
        <f>HYPERLINK("http://www8.mpce.mp.br/Dispensa/1320920133.pdf","13209/2013-3")</f>
        <v>13209/2013-3</v>
      </c>
      <c r="D80" s="4">
        <v>45693</v>
      </c>
      <c r="E80" s="16" t="str">
        <f>HYPERLINK("https://www8.mpce.mp.br/Empenhos/150001/Objeto/43-2013.pdf","EMPENHO DOS ALUGUÉIS DOS MESES DE JANEIRO E FEVEREIRO DE 2025, REF. AO IMÓVEL ONDE FUNCIONAM AS PROMOTORIAS DE JUSTIÇA DA COMARCA DE MORADA NOVA, CONF CONTRATO Nº 043/2013.")</f>
        <v>EMPENHO DOS ALUGUÉIS DOS MESES DE JANEIRO E FEVEREIRO DE 2025, REF. AO IMÓVEL ONDE FUNCIONAM AS PROMOTORIAS DE JUSTIÇA DA COMARCA DE MORADA NOVA, CONF CONTRATO Nº 043/2013.</v>
      </c>
      <c r="F80" s="2" t="s">
        <v>31</v>
      </c>
      <c r="G80" s="5" t="str">
        <f>HYPERLINK("http://www8.mpce.mp.br/Empenhos/150501/NE/2025NE000211.pdf","2025NE000211")</f>
        <v>2025NE000211</v>
      </c>
      <c r="H80" s="6">
        <v>17331.580000000002</v>
      </c>
      <c r="I80" s="7" t="s">
        <v>62</v>
      </c>
      <c r="J80" s="10" t="s">
        <v>63</v>
      </c>
    </row>
    <row r="81" spans="1:12" x14ac:dyDescent="0.25">
      <c r="A81" s="12" t="s">
        <v>159</v>
      </c>
      <c r="B81" s="2" t="s">
        <v>258</v>
      </c>
      <c r="C81" s="3" t="str">
        <f>HYPERLINK("https://transparencia-area-fim.mpce.mp.br/#/consulta/processo/pastadigital/092025000017952","09.2025.00001795-2")</f>
        <v>09.2025.00001795-2</v>
      </c>
      <c r="D81" s="4">
        <v>45685</v>
      </c>
      <c r="E81" s="16" t="s">
        <v>259</v>
      </c>
      <c r="F81" s="2" t="s">
        <v>255</v>
      </c>
      <c r="G81" s="5" t="str">
        <f>HYPERLINK("http://www8.mpce.mp.br/Empenhos/150001/NE/2025NE000213.pdf","2025NE000213")</f>
        <v>2025NE000213</v>
      </c>
      <c r="H81" s="6">
        <v>399.96</v>
      </c>
      <c r="I81" s="7" t="s">
        <v>64</v>
      </c>
      <c r="J81" s="10" t="s">
        <v>260</v>
      </c>
    </row>
    <row r="82" spans="1:12" x14ac:dyDescent="0.25">
      <c r="A82" s="12" t="s">
        <v>159</v>
      </c>
      <c r="B82" s="2" t="s">
        <v>263</v>
      </c>
      <c r="C82" s="3" t="str">
        <f>HYPERLINK("https://transparencia-area-fim.mpce.mp.br/#/consulta/processo/pastadigital/092021000189150","09.2021.00018915-0")</f>
        <v>09.2021.00018915-0</v>
      </c>
      <c r="D82" s="4">
        <v>45693</v>
      </c>
      <c r="E82" s="16" t="str">
        <f>HYPERLINK("https://www8.mpce.mp.br/Empenhos/150001/Objeto/09-2022.pdf","SERVIÇOS DE EXTENSÃO DE GARANTIA PARA O DATA CENTER, CONF. CONTRATO Nº 009/2022, REF. AO MÊS DE JANEIRO DE 2025.")</f>
        <v>SERVIÇOS DE EXTENSÃO DE GARANTIA PARA O DATA CENTER, CONF. CONTRATO Nº 009/2022, REF. AO MÊS DE JANEIRO DE 2025.</v>
      </c>
      <c r="F82" s="2" t="s">
        <v>264</v>
      </c>
      <c r="G82" s="5" t="str">
        <f>HYPERLINK("http://www8.mpce.mp.br/Empenhos/150501/NE/2025NE000214.pdf","2025NE000214")</f>
        <v>2025NE000214</v>
      </c>
      <c r="H82" s="6">
        <v>21000</v>
      </c>
      <c r="I82" s="7" t="s">
        <v>66</v>
      </c>
      <c r="J82" s="10" t="s">
        <v>265</v>
      </c>
    </row>
    <row r="83" spans="1:12" x14ac:dyDescent="0.25">
      <c r="A83" s="12" t="s">
        <v>159</v>
      </c>
      <c r="B83" s="2" t="s">
        <v>258</v>
      </c>
      <c r="C83" s="3" t="str">
        <f>HYPERLINK("https://transparencia-area-fim.mpce.mp.br/#/consulta/processo/pastadigital/092025000018007","09.2025.00001800-7")</f>
        <v>09.2025.00001800-7</v>
      </c>
      <c r="D83" s="4">
        <v>45685</v>
      </c>
      <c r="E83" s="16" t="s">
        <v>261</v>
      </c>
      <c r="F83" s="2" t="s">
        <v>255</v>
      </c>
      <c r="G83" s="5" t="str">
        <f>HYPERLINK("http://www8.mpce.mp.br/Empenhos/150001/NE/2025NE000214.pdf","2025NE000214")</f>
        <v>2025NE000214</v>
      </c>
      <c r="H83" s="6">
        <v>188.73</v>
      </c>
      <c r="I83" s="7" t="s">
        <v>65</v>
      </c>
      <c r="J83" s="10" t="s">
        <v>262</v>
      </c>
    </row>
    <row r="84" spans="1:12" x14ac:dyDescent="0.25">
      <c r="A84" s="12" t="s">
        <v>159</v>
      </c>
      <c r="B84" s="2" t="s">
        <v>258</v>
      </c>
      <c r="C84" s="3" t="str">
        <f>HYPERLINK("https://transparencia-area-fim.mpce.mp.br/#/consulta/processo/pastadigital/092025000018018","09.2025.00001801-8")</f>
        <v>09.2025.00001801-8</v>
      </c>
      <c r="D84" s="4">
        <v>45685</v>
      </c>
      <c r="E84" s="16" t="s">
        <v>266</v>
      </c>
      <c r="F84" s="2" t="s">
        <v>255</v>
      </c>
      <c r="G84" s="5" t="str">
        <f>HYPERLINK("http://www8.mpce.mp.br/Empenhos/150001/NE/2025NE000215.pdf","2025NE000215")</f>
        <v>2025NE000215</v>
      </c>
      <c r="H84" s="6">
        <v>150</v>
      </c>
      <c r="I84" s="7" t="s">
        <v>67</v>
      </c>
      <c r="J84" s="10" t="s">
        <v>267</v>
      </c>
    </row>
    <row r="85" spans="1:12" x14ac:dyDescent="0.25">
      <c r="A85" s="12" t="s">
        <v>159</v>
      </c>
      <c r="B85" s="2" t="s">
        <v>258</v>
      </c>
      <c r="C85" s="3" t="str">
        <f>HYPERLINK("https://transparencia-area-fim.mpce.mp.br/#/consulta/processo/pastadigital/092025000018073","09.2025.00001807-3")</f>
        <v>09.2025.00001807-3</v>
      </c>
      <c r="D85" s="4">
        <v>45685</v>
      </c>
      <c r="E85" s="16" t="s">
        <v>268</v>
      </c>
      <c r="F85" s="2" t="s">
        <v>255</v>
      </c>
      <c r="G85" s="5" t="str">
        <f>HYPERLINK("http://www8.mpce.mp.br/Empenhos/150001/NE/2025NE000216.pdf","2025NE000216")</f>
        <v>2025NE000216</v>
      </c>
      <c r="H85" s="6">
        <v>450</v>
      </c>
      <c r="I85" s="7" t="s">
        <v>68</v>
      </c>
      <c r="J85" s="10" t="s">
        <v>269</v>
      </c>
    </row>
    <row r="86" spans="1:12" x14ac:dyDescent="0.25">
      <c r="A86" s="12" t="s">
        <v>159</v>
      </c>
      <c r="B86" s="2" t="s">
        <v>258</v>
      </c>
      <c r="C86" s="3" t="str">
        <f>HYPERLINK("https://transparencia-area-fim.mpce.mp.br/#/consulta/processo/pastadigital/092025000018084","09.2025.00001808-4")</f>
        <v>09.2025.00001808-4</v>
      </c>
      <c r="D86" s="4">
        <v>45685</v>
      </c>
      <c r="E86" s="16" t="s">
        <v>270</v>
      </c>
      <c r="F86" s="2" t="s">
        <v>255</v>
      </c>
      <c r="G86" s="5" t="str">
        <f>HYPERLINK("http://www8.mpce.mp.br/Empenhos/150001/NE/2025NE000217.pdf","2025NE000217")</f>
        <v>2025NE000217</v>
      </c>
      <c r="H86" s="6">
        <v>735.48</v>
      </c>
      <c r="I86" s="7" t="s">
        <v>69</v>
      </c>
      <c r="J86" s="10" t="s">
        <v>271</v>
      </c>
    </row>
    <row r="87" spans="1:12" x14ac:dyDescent="0.25">
      <c r="A87" s="12" t="s">
        <v>159</v>
      </c>
      <c r="B87" s="2" t="s">
        <v>258</v>
      </c>
      <c r="C87" s="3" t="str">
        <f>HYPERLINK("https://transparencia-area-fim.mpce.mp.br/#/consulta/processo/pastadigital/092025000018107","09.2025.00001810-7")</f>
        <v>09.2025.00001810-7</v>
      </c>
      <c r="D87" s="4">
        <v>45685</v>
      </c>
      <c r="E87" s="16" t="s">
        <v>272</v>
      </c>
      <c r="F87" s="2" t="s">
        <v>255</v>
      </c>
      <c r="G87" s="5" t="str">
        <f>HYPERLINK("http://www8.mpce.mp.br/Empenhos/150001/NE/2025NE000218.pdf","2025NE000218")</f>
        <v>2025NE000218</v>
      </c>
      <c r="H87" s="6">
        <v>226.05</v>
      </c>
      <c r="I87" s="7" t="s">
        <v>70</v>
      </c>
      <c r="J87" s="10" t="s">
        <v>273</v>
      </c>
    </row>
    <row r="88" spans="1:12" x14ac:dyDescent="0.25">
      <c r="A88" s="12" t="s">
        <v>159</v>
      </c>
      <c r="B88" s="2" t="s">
        <v>258</v>
      </c>
      <c r="C88" s="3" t="str">
        <f>HYPERLINK("https://transparencia-area-fim.mpce.mp.br/#/consulta/processo/pastadigital/092025000018362","09.2025.00001836-2")</f>
        <v>09.2025.00001836-2</v>
      </c>
      <c r="D88" s="4">
        <v>45685</v>
      </c>
      <c r="E88" s="16" t="s">
        <v>274</v>
      </c>
      <c r="F88" s="2" t="s">
        <v>255</v>
      </c>
      <c r="G88" s="5" t="str">
        <f>HYPERLINK("http://www8.mpce.mp.br/Empenhos/150001/NE/2025NE000219.pdf","2025NE000219")</f>
        <v>2025NE000219</v>
      </c>
      <c r="H88" s="6">
        <v>4800</v>
      </c>
      <c r="I88" s="7" t="s">
        <v>71</v>
      </c>
      <c r="J88" s="10" t="s">
        <v>275</v>
      </c>
    </row>
    <row r="89" spans="1:12" x14ac:dyDescent="0.25">
      <c r="A89" s="12" t="s">
        <v>159</v>
      </c>
      <c r="B89" s="2" t="s">
        <v>276</v>
      </c>
      <c r="C89" s="3" t="str">
        <f>HYPERLINK("https://transparencia-area-fim.mpce.mp.br/#/consulta/processo/pastadigital/092023000079630","09.2023.00007963-0")</f>
        <v>09.2023.00007963-0</v>
      </c>
      <c r="D89" s="4">
        <v>45693</v>
      </c>
      <c r="E89" s="17" t="str">
        <f>HYPERLINK("https://www8.mpce.mp.br/Empenhos/150001/Objeto/15-2023.pdf","EMPENHO REF. SERVIÇOS TÉCNICOS ESPECIALIZADOS DE PESQUISA E ACONSELHAMENTO IMPARCIAL EM TECNOLOGIA DA INFORMAÇÃO, CONF. CONTRATO 015/2023, REF. JAN E FEV/2025, POR ESTIMATIVA.")</f>
        <v>EMPENHO REF. SERVIÇOS TÉCNICOS ESPECIALIZADOS DE PESQUISA E ACONSELHAMENTO IMPARCIAL EM TECNOLOGIA DA INFORMAÇÃO, CONF. CONTRATO 015/2023, REF. JAN E FEV/2025, POR ESTIMATIVA.</v>
      </c>
      <c r="F89" s="2" t="s">
        <v>228</v>
      </c>
      <c r="G89" s="5" t="str">
        <f>HYPERLINK("http://www8.mpce.mp.br/Empenhos/150501/NE/2025NE000219.pdf","2025NE000219")</f>
        <v>2025NE000219</v>
      </c>
      <c r="H89" s="6">
        <v>131200</v>
      </c>
      <c r="I89" s="7" t="s">
        <v>72</v>
      </c>
      <c r="J89" s="10" t="s">
        <v>277</v>
      </c>
    </row>
    <row r="90" spans="1:12" x14ac:dyDescent="0.25">
      <c r="A90" s="12" t="s">
        <v>159</v>
      </c>
      <c r="B90" s="2" t="s">
        <v>278</v>
      </c>
      <c r="C90" s="3" t="str">
        <f>HYPERLINK("https://transparencia-area-fim.mpce.mp.br/#/consulta/processo/pastadigital/092023000255300","09.2023.00025530-0")</f>
        <v>09.2023.00025530-0</v>
      </c>
      <c r="D90" s="4">
        <v>45693</v>
      </c>
      <c r="E90" s="16" t="str">
        <f>HYPERLINK("https://www8.mpce.mp.br/Empenhos/150001/Objeto/42-2024.pdf","EMPENHO REF. SERVIÇO DO SISTEMA SAJ-MP - SUPORTE 1º NÍVEL, CONF. CONTRATO 042/2024, REF. JAN/2025, POR ESTIMATIVA.")</f>
        <v>EMPENHO REF. SERVIÇO DO SISTEMA SAJ-MP - SUPORTE 1º NÍVEL, CONF. CONTRATO 042/2024, REF. JAN/2025, POR ESTIMATIVA.</v>
      </c>
      <c r="F90" s="2" t="s">
        <v>279</v>
      </c>
      <c r="G90" s="5" t="str">
        <f>HYPERLINK("http://www8.mpce.mp.br/Empenhos/150501/NE/2025NE000221.pdf","2025NE000221")</f>
        <v>2025NE000221</v>
      </c>
      <c r="H90" s="6">
        <v>187685.66</v>
      </c>
      <c r="I90" s="7" t="s">
        <v>73</v>
      </c>
      <c r="J90" s="10" t="s">
        <v>280</v>
      </c>
    </row>
    <row r="91" spans="1:12" x14ac:dyDescent="0.25">
      <c r="A91" s="12" t="s">
        <v>159</v>
      </c>
      <c r="B91" s="2" t="s">
        <v>258</v>
      </c>
      <c r="C91" s="3" t="str">
        <f>HYPERLINK("https://transparencia-area-fim.mpce.mp.br/#/consulta/processo/pastadigital/092025000018373","09.2025.00001837-3")</f>
        <v>09.2025.00001837-3</v>
      </c>
      <c r="D91" s="4">
        <v>45685</v>
      </c>
      <c r="E91" s="16" t="s">
        <v>281</v>
      </c>
      <c r="F91" s="2" t="s">
        <v>255</v>
      </c>
      <c r="G91" s="5" t="str">
        <f>HYPERLINK("http://www8.mpce.mp.br/Empenhos/150001/NE/2025NE000221.pdf","2025NE000221")</f>
        <v>2025NE000221</v>
      </c>
      <c r="H91" s="6">
        <v>419.16</v>
      </c>
      <c r="I91" s="7" t="s">
        <v>74</v>
      </c>
      <c r="J91" s="10" t="s">
        <v>282</v>
      </c>
      <c r="L91" s="13"/>
    </row>
    <row r="92" spans="1:12" x14ac:dyDescent="0.25">
      <c r="A92" s="12" t="s">
        <v>159</v>
      </c>
      <c r="B92" s="2" t="s">
        <v>278</v>
      </c>
      <c r="C92" s="3" t="str">
        <f>HYPERLINK("https://transparencia-area-fim.mpce.mp.br/#/consulta/processo/pastadigital/092023000255300","09.2023.00025530-0")</f>
        <v>09.2023.00025530-0</v>
      </c>
      <c r="D92" s="4">
        <v>45693</v>
      </c>
      <c r="E92" s="17" t="str">
        <f>HYPERLINK("https://www8.mpce.mp.br/Empenhos/150001/Objeto/42-2024.pdf","EMPENHO REF. SERVIÇO DO SISTEMA SAJ-MP - HOSPEDAGEM EM NUVEM, CONF. CONTRATO 042/2024, REF. JAN/2025, POR ESTIMATIVA.")</f>
        <v>EMPENHO REF. SERVIÇO DO SISTEMA SAJ-MP - HOSPEDAGEM EM NUVEM, CONF. CONTRATO 042/2024, REF. JAN/2025, POR ESTIMATIVA.</v>
      </c>
      <c r="F92" s="2" t="s">
        <v>283</v>
      </c>
      <c r="G92" s="5" t="str">
        <f>HYPERLINK("http://www8.mpce.mp.br/Empenhos/150501/NE/2025NE000223.pdf","2025NE000223")</f>
        <v>2025NE000223</v>
      </c>
      <c r="H92" s="6">
        <v>104500</v>
      </c>
      <c r="I92" s="7" t="s">
        <v>73</v>
      </c>
      <c r="J92" s="10" t="s">
        <v>280</v>
      </c>
      <c r="L92" s="13"/>
    </row>
    <row r="93" spans="1:12" x14ac:dyDescent="0.25">
      <c r="A93" s="12" t="s">
        <v>159</v>
      </c>
      <c r="B93" s="2" t="s">
        <v>278</v>
      </c>
      <c r="C93" s="3" t="str">
        <f>HYPERLINK("https://transparencia-area-fim.mpce.mp.br/#/consulta/processo/pastadigital/092023000255300","09.2023.00025530-0")</f>
        <v>09.2023.00025530-0</v>
      </c>
      <c r="D93" s="4">
        <v>45693</v>
      </c>
      <c r="E93" s="17" t="str">
        <f>HYPERLINK("https://www8.mpce.mp.br/Empenhos/150001/Objeto/42-2024.pdf","EMPENHO REF. SERVIÇO DO SISTEMA SAJ-MP - ACOMPANHAMENTO DA OPERAÇÃO, CONF. CONTRATO 042/2024, REF. JAN/2025, POR ESTIMATIVA.")</f>
        <v>EMPENHO REF. SERVIÇO DO SISTEMA SAJ-MP - ACOMPANHAMENTO DA OPERAÇÃO, CONF. CONTRATO 042/2024, REF. JAN/2025, POR ESTIMATIVA.</v>
      </c>
      <c r="F93" s="2" t="s">
        <v>279</v>
      </c>
      <c r="G93" s="5" t="str">
        <f>HYPERLINK("http://www8.mpce.mp.br/Empenhos/150501/NE/2025NE000226.pdf","2025NE000226")</f>
        <v>2025NE000226</v>
      </c>
      <c r="H93" s="6">
        <v>164387.07</v>
      </c>
      <c r="I93" s="7" t="s">
        <v>73</v>
      </c>
      <c r="J93" s="10" t="s">
        <v>280</v>
      </c>
    </row>
    <row r="94" spans="1:12" x14ac:dyDescent="0.25">
      <c r="A94" s="12" t="s">
        <v>159</v>
      </c>
      <c r="B94" s="2" t="s">
        <v>278</v>
      </c>
      <c r="C94" s="3" t="str">
        <f>HYPERLINK("https://transparencia-area-fim.mpce.mp.br/#/consulta/processo/pastadigital/092023000255300","09.2023.00025530-0")</f>
        <v>09.2023.00025530-0</v>
      </c>
      <c r="D94" s="4">
        <v>45694</v>
      </c>
      <c r="E94" s="16" t="str">
        <f>HYPERLINK("https://www8.mpce.mp.br/Empenhos/150001/Objeto/42-2024.pdf","EMPENHO REF. SERVIÇO DO SISTEMA SAJMP - GETF, CONF. CONTRATO 042/2024, REF. JAN/2025, POR ESTIMATIVA.")</f>
        <v>EMPENHO REF. SERVIÇO DO SISTEMA SAJMP - GETF, CONF. CONTRATO 042/2024, REF. JAN/2025, POR ESTIMATIVA.</v>
      </c>
      <c r="F94" s="2" t="s">
        <v>284</v>
      </c>
      <c r="G94" s="5" t="str">
        <f>HYPERLINK("http://www8.mpce.mp.br/Empenhos/150501/NE/2025NE000229.pdf","2025NE000229")</f>
        <v>2025NE000229</v>
      </c>
      <c r="H94" s="6">
        <v>136479.79</v>
      </c>
      <c r="I94" s="7" t="s">
        <v>73</v>
      </c>
      <c r="J94" s="10" t="s">
        <v>280</v>
      </c>
    </row>
    <row r="95" spans="1:12" x14ac:dyDescent="0.25">
      <c r="A95" s="12" t="s">
        <v>159</v>
      </c>
      <c r="B95" s="2" t="s">
        <v>258</v>
      </c>
      <c r="C95" s="3" t="str">
        <f>HYPERLINK("https://transparencia-area-fim.mpce.mp.br/#/consulta/processo/pastadigital/092025000015807","09.2025.00001580-7")</f>
        <v>09.2025.00001580-7</v>
      </c>
      <c r="D95" s="4">
        <v>45685</v>
      </c>
      <c r="E95" s="16" t="s">
        <v>285</v>
      </c>
      <c r="F95" s="2" t="s">
        <v>255</v>
      </c>
      <c r="G95" s="5" t="str">
        <f>HYPERLINK("http://www8.mpce.mp.br/Empenhos/150001/NE/2025NE000229.pdf","2025NE000229")</f>
        <v>2025NE000229</v>
      </c>
      <c r="H95" s="6">
        <v>50000</v>
      </c>
      <c r="I95" s="7" t="s">
        <v>75</v>
      </c>
      <c r="J95" s="10" t="s">
        <v>286</v>
      </c>
    </row>
    <row r="96" spans="1:12" x14ac:dyDescent="0.25">
      <c r="A96" s="12" t="s">
        <v>19</v>
      </c>
      <c r="B96" s="2" t="s">
        <v>243</v>
      </c>
      <c r="C96" s="3" t="str">
        <f>HYPERLINK("https://transparencia-area-fim.mpce.mp.br/#/consulta/processo/pastadigital/092024000367240","09.2024.00036724-0")</f>
        <v>09.2024.00036724-0</v>
      </c>
      <c r="D96" s="4">
        <v>45694</v>
      </c>
      <c r="E96" s="16" t="str">
        <f>HYPERLINK("https://www8.mpce.mp.br/Empenhos/150001/Objeto/01-2024.pdf","EMPENHO REF. SERVIÇOS TÉCNICOS ESPECIALIZADOS, SOB DEMANDA, CONF. CONTRATO 101/2024, REF. EXERCÍCIO 2025, POR ESTIMATIVA.")</f>
        <v>EMPENHO REF. SERVIÇOS TÉCNICOS ESPECIALIZADOS, SOB DEMANDA, CONF. CONTRATO 101/2024, REF. EXERCÍCIO 2025, POR ESTIMATIVA.</v>
      </c>
      <c r="F96" s="2" t="s">
        <v>231</v>
      </c>
      <c r="G96" s="5" t="str">
        <f>HYPERLINK("http://www8.mpce.mp.br/Empenhos/150501/NE/2025NE000232.pdf","2025NE000232")</f>
        <v>2025NE000232</v>
      </c>
      <c r="H96" s="6">
        <v>100000</v>
      </c>
      <c r="I96" s="7" t="s">
        <v>51</v>
      </c>
      <c r="J96" s="10" t="s">
        <v>212</v>
      </c>
    </row>
    <row r="97" spans="1:12" x14ac:dyDescent="0.25">
      <c r="A97" s="12" t="s">
        <v>159</v>
      </c>
      <c r="B97" s="2" t="s">
        <v>253</v>
      </c>
      <c r="C97" s="3" t="str">
        <f>HYPERLINK("https://transparencia-area-fim.mpce.mp.br/#/consulta/processo/pastadigital/092025000017485","09.2025.00001748-5")</f>
        <v>09.2025.00001748-5</v>
      </c>
      <c r="D97" s="4">
        <v>45685</v>
      </c>
      <c r="E97" s="16" t="s">
        <v>287</v>
      </c>
      <c r="F97" s="2" t="s">
        <v>255</v>
      </c>
      <c r="G97" s="5" t="str">
        <f>HYPERLINK("http://www8.mpce.mp.br/Empenhos/150001/NE/2025NE000232.pdf","2025NE000232")</f>
        <v>2025NE000232</v>
      </c>
      <c r="H97" s="6">
        <v>117.84</v>
      </c>
      <c r="I97" s="7" t="s">
        <v>76</v>
      </c>
      <c r="J97" s="10" t="s">
        <v>288</v>
      </c>
    </row>
    <row r="98" spans="1:12" x14ac:dyDescent="0.25">
      <c r="A98" s="12" t="s">
        <v>19</v>
      </c>
      <c r="B98" s="2" t="s">
        <v>187</v>
      </c>
      <c r="C98" s="3" t="str">
        <f>HYPERLINK("https://transparencia-area-fim.mpce.mp.br/#/consulta/processo/pastadigital/092022000230870","09.2022.00023087-0")</f>
        <v>09.2022.00023087-0</v>
      </c>
      <c r="D98" s="4">
        <v>45694</v>
      </c>
      <c r="E98" s="16" t="str">
        <f>HYPERLINK("https://www8.mpce.mp.br/Empenhos/150001/Objeto/29-2022.pdf","EMPENHO REF. ALUGUEL DE IMÓVEL ONDE FUNCIONA SEDE DE PROMOTORIAS DE JUSTIÇA DA COMARCA DE JUAZEIRO DO NORTE, CONF. CONTRATO 029/2022, REF. JAN E FEV/2025, POR ESTIMATIVA.")</f>
        <v>EMPENHO REF. ALUGUEL DE IMÓVEL ONDE FUNCIONA SEDE DE PROMOTORIAS DE JUSTIÇA DA COMARCA DE JUAZEIRO DO NORTE, CONF. CONTRATO 029/2022, REF. JAN E FEV/2025, POR ESTIMATIVA.</v>
      </c>
      <c r="F98" s="2" t="s">
        <v>130</v>
      </c>
      <c r="G98" s="5" t="str">
        <f>HYPERLINK("http://www8.mpce.mp.br/Empenhos/150501/NE/2025NE000234.pdf","2025NE000234")</f>
        <v>2025NE000234</v>
      </c>
      <c r="H98" s="6">
        <v>137367.48000000001</v>
      </c>
      <c r="I98" s="7" t="s">
        <v>20</v>
      </c>
      <c r="J98" s="10" t="s">
        <v>138</v>
      </c>
      <c r="L98" s="13"/>
    </row>
    <row r="99" spans="1:12" x14ac:dyDescent="0.25">
      <c r="A99" s="12" t="s">
        <v>159</v>
      </c>
      <c r="B99" s="2" t="s">
        <v>253</v>
      </c>
      <c r="C99" s="3" t="str">
        <f>HYPERLINK("https://transparencia-area-fim.mpce.mp.br/#/consulta/processo/pastadigital/092025000017508","09.2025.00001750-8")</f>
        <v>09.2025.00001750-8</v>
      </c>
      <c r="D99" s="4">
        <v>45685</v>
      </c>
      <c r="E99" s="16" t="s">
        <v>287</v>
      </c>
      <c r="F99" s="2" t="s">
        <v>255</v>
      </c>
      <c r="G99" s="5" t="str">
        <f>HYPERLINK("http://www8.mpce.mp.br/Empenhos/150001/NE/2025NE000235.pdf","2025NE000235")</f>
        <v>2025NE000235</v>
      </c>
      <c r="H99" s="6">
        <v>600</v>
      </c>
      <c r="I99" s="7" t="s">
        <v>77</v>
      </c>
      <c r="J99" s="10" t="s">
        <v>289</v>
      </c>
      <c r="L99" s="13"/>
    </row>
    <row r="100" spans="1:12" x14ac:dyDescent="0.25">
      <c r="A100" s="12" t="s">
        <v>19</v>
      </c>
      <c r="B100" s="2" t="s">
        <v>290</v>
      </c>
      <c r="C100" s="3" t="str">
        <f>HYPERLINK("https://transparencia-area-fim.mpce.mp.br/#/consulta/processo/pastadigital/092024000041060","09.2024.00004106-0")</f>
        <v>09.2024.00004106-0</v>
      </c>
      <c r="D100" s="4">
        <v>45685</v>
      </c>
      <c r="E100" s="17" t="str">
        <f>HYPERLINK("https://www8.mpce.mp.br/Empenhos/150001/Objeto/95-2024.pdf","CHIPS DA VIVO, RE. AOS MESES DE JANEIRO A MARÇO DE 2025, CONF. CONTRATO Nº 095/2024.")</f>
        <v>CHIPS DA VIVO, RE. AOS MESES DE JANEIRO A MARÇO DE 2025, CONF. CONTRATO Nº 095/2024.</v>
      </c>
      <c r="F100" s="2" t="s">
        <v>291</v>
      </c>
      <c r="G100" s="5" t="str">
        <f>HYPERLINK("http://www8.mpce.mp.br/Empenhos/150001/NE/2025NE000236.pdf","2025NE000236")</f>
        <v>2025NE000236</v>
      </c>
      <c r="H100" s="6">
        <v>6000</v>
      </c>
      <c r="I100" s="7" t="s">
        <v>292</v>
      </c>
      <c r="J100" s="10" t="s">
        <v>293</v>
      </c>
      <c r="L100" s="13"/>
    </row>
    <row r="101" spans="1:12" x14ac:dyDescent="0.25">
      <c r="A101" s="12" t="s">
        <v>159</v>
      </c>
      <c r="B101" s="2" t="s">
        <v>253</v>
      </c>
      <c r="C101" s="3" t="str">
        <f>HYPERLINK("https://transparencia-area-fim.mpce.mp.br/#/consulta/processo/pastadigital/092025000017520","09.2025.00001752-0")</f>
        <v>09.2025.00001752-0</v>
      </c>
      <c r="D101" s="4">
        <v>45685</v>
      </c>
      <c r="E101" s="16" t="s">
        <v>294</v>
      </c>
      <c r="F101" s="2" t="s">
        <v>255</v>
      </c>
      <c r="G101" s="5" t="str">
        <f>HYPERLINK("http://www8.mpce.mp.br/Empenhos/150001/NE/2025NE000237.pdf","2025NE000237")</f>
        <v>2025NE000237</v>
      </c>
      <c r="H101" s="6">
        <v>600</v>
      </c>
      <c r="I101" s="7" t="s">
        <v>78</v>
      </c>
      <c r="J101" s="10" t="s">
        <v>295</v>
      </c>
      <c r="L101" s="13"/>
    </row>
    <row r="102" spans="1:12" x14ac:dyDescent="0.25">
      <c r="A102" s="12" t="s">
        <v>19</v>
      </c>
      <c r="B102" s="2" t="s">
        <v>187</v>
      </c>
      <c r="C102" s="3" t="str">
        <f>HYPERLINK("https://transparencia-area-fim.mpce.mp.br/#/consulta/processo/pastadigital/092022000343818","09.2022.00034381-8")</f>
        <v>09.2022.00034381-8</v>
      </c>
      <c r="D102" s="4">
        <v>45694</v>
      </c>
      <c r="E102" s="16" t="str">
        <f>HYPERLINK("https://www8.mpce.mp.br/Empenhos/150001/Objeto/24-2023.pdf","EMPENHO REF. ALUGUEL DE IMÓVEL ONDE FUNCIONA SEDE DE PROMOTORIAS DE JUSTIÇA DA COMARCA DE ITAPIPOCA, CONF. CONTRATO 024/2023, REF. JAN/2025, POR ESTIMATIVA.")</f>
        <v>EMPENHO REF. ALUGUEL DE IMÓVEL ONDE FUNCIONA SEDE DE PROMOTORIAS DE JUSTIÇA DA COMARCA DE ITAPIPOCA, CONF. CONTRATO 024/2023, REF. JAN/2025, POR ESTIMATIVA.</v>
      </c>
      <c r="F102" s="2" t="s">
        <v>130</v>
      </c>
      <c r="G102" s="5" t="str">
        <f>HYPERLINK("http://www8.mpce.mp.br/Empenhos/150501/NE/2025NE000238.pdf","2025NE000238")</f>
        <v>2025NE000238</v>
      </c>
      <c r="H102" s="6">
        <v>37754.28</v>
      </c>
      <c r="I102" s="7" t="s">
        <v>79</v>
      </c>
      <c r="J102" s="10" t="s">
        <v>133</v>
      </c>
      <c r="L102" s="13"/>
    </row>
    <row r="103" spans="1:12" x14ac:dyDescent="0.25">
      <c r="A103" s="12" t="s">
        <v>159</v>
      </c>
      <c r="B103" s="2" t="s">
        <v>253</v>
      </c>
      <c r="C103" s="3" t="str">
        <f>HYPERLINK("https://transparencia-area-fim.mpce.mp.br/#/consulta/processo/pastadigital/092025000017874","09.2025.00001787-4")</f>
        <v>09.2025.00001787-4</v>
      </c>
      <c r="D103" s="4">
        <v>45685</v>
      </c>
      <c r="E103" s="16" t="s">
        <v>296</v>
      </c>
      <c r="F103" s="2" t="s">
        <v>255</v>
      </c>
      <c r="G103" s="5" t="str">
        <f>HYPERLINK("http://www8.mpce.mp.br/Empenhos/150001/NE/2025NE000240.pdf","2025NE000240")</f>
        <v>2025NE000240</v>
      </c>
      <c r="H103" s="6">
        <v>60.78</v>
      </c>
      <c r="I103" s="7" t="s">
        <v>81</v>
      </c>
      <c r="J103" s="10" t="s">
        <v>297</v>
      </c>
      <c r="L103" s="13"/>
    </row>
    <row r="104" spans="1:12" x14ac:dyDescent="0.25">
      <c r="A104" s="12" t="s">
        <v>159</v>
      </c>
      <c r="B104" s="2" t="s">
        <v>278</v>
      </c>
      <c r="C104" s="3" t="str">
        <f>HYPERLINK("https://transparencia-area-fim.mpce.mp.br/#/consulta/processo/pastadigital/092023000255300","09.2023.00025530-0")</f>
        <v>09.2023.00025530-0</v>
      </c>
      <c r="D104" s="4">
        <v>45694</v>
      </c>
      <c r="E104" s="16" t="str">
        <f>HYPERLINK("https://www8.mpce.mp.br/Empenhos/150001/Objeto/42-2024.pdf","EMPENHO REF. SERVIÇO DO SISTEMA SAJ-MP - SUPORTE ESTENDIDO, CONF. CONTRATO 042/2024, REF. JAN E FEV/2025, POR ESTIMATIVA.")</f>
        <v>EMPENHO REF. SERVIÇO DO SISTEMA SAJ-MP - SUPORTE ESTENDIDO, CONF. CONTRATO 042/2024, REF. JAN E FEV/2025, POR ESTIMATIVA.</v>
      </c>
      <c r="F104" s="2" t="s">
        <v>279</v>
      </c>
      <c r="G104" s="5" t="str">
        <f>HYPERLINK("http://www8.mpce.mp.br/Empenhos/150501/NE/2025NE000242.pdf","2025NE000242")</f>
        <v>2025NE000242</v>
      </c>
      <c r="H104" s="6">
        <v>27793.8</v>
      </c>
      <c r="I104" s="7" t="s">
        <v>73</v>
      </c>
      <c r="J104" s="10" t="s">
        <v>280</v>
      </c>
    </row>
    <row r="105" spans="1:12" x14ac:dyDescent="0.25">
      <c r="A105" s="12" t="s">
        <v>159</v>
      </c>
      <c r="B105" s="2" t="s">
        <v>253</v>
      </c>
      <c r="C105" s="3" t="str">
        <f>HYPERLINK("https://transparencia-area-fim.mpce.mp.br/#/consulta/processo/pastadigital/092025000017520","09.2025.00001752-0")</f>
        <v>09.2025.00001752-0</v>
      </c>
      <c r="D105" s="4">
        <v>45685</v>
      </c>
      <c r="E105" s="16" t="s">
        <v>298</v>
      </c>
      <c r="F105" s="2" t="s">
        <v>255</v>
      </c>
      <c r="G105" s="5" t="str">
        <f>HYPERLINK("http://www8.mpce.mp.br/Empenhos/150001/NE/2025NE000242.pdf","2025NE000242")</f>
        <v>2025NE000242</v>
      </c>
      <c r="H105" s="6">
        <v>600</v>
      </c>
      <c r="I105" s="7" t="s">
        <v>78</v>
      </c>
      <c r="J105" s="10" t="s">
        <v>295</v>
      </c>
      <c r="L105" s="13"/>
    </row>
    <row r="106" spans="1:12" x14ac:dyDescent="0.25">
      <c r="A106" s="12" t="s">
        <v>159</v>
      </c>
      <c r="B106" s="2" t="s">
        <v>278</v>
      </c>
      <c r="C106" s="3" t="str">
        <f>HYPERLINK("https://transparencia-area-fim.mpce.mp.br/#/consulta/processo/pastadigital/092023000255300","09.2023.00025530-0")</f>
        <v>09.2023.00025530-0</v>
      </c>
      <c r="D106" s="4">
        <v>45695</v>
      </c>
      <c r="E106" s="16" t="str">
        <f>HYPERLINK("https://www8.mpce.mp.br/Empenhos/150001/Objeto/42-2024.pdf","EMPENHO REF. SERVIÇO DO SISTEMA SAJ-MP - SUSTENTAÇÃO, CONF. CONTRATO 042/2024, REF. JAN/2025, POR ESTIMATIVA.")</f>
        <v>EMPENHO REF. SERVIÇO DO SISTEMA SAJ-MP - SUSTENTAÇÃO, CONF. CONTRATO 042/2024, REF. JAN/2025, POR ESTIMATIVA.</v>
      </c>
      <c r="F106" s="2" t="s">
        <v>279</v>
      </c>
      <c r="G106" s="5" t="str">
        <f>HYPERLINK("http://www8.mpce.mp.br/Empenhos/150501/NE/2025NE000244.pdf","2025NE000244")</f>
        <v>2025NE000244</v>
      </c>
      <c r="H106" s="6">
        <v>82608</v>
      </c>
      <c r="I106" s="7" t="s">
        <v>73</v>
      </c>
      <c r="J106" s="10" t="s">
        <v>280</v>
      </c>
      <c r="L106" s="13"/>
    </row>
    <row r="107" spans="1:12" x14ac:dyDescent="0.25">
      <c r="A107" s="12" t="s">
        <v>159</v>
      </c>
      <c r="B107" s="2" t="s">
        <v>253</v>
      </c>
      <c r="C107" s="3" t="str">
        <f>HYPERLINK("https://transparencia-area-fim.mpce.mp.br/#/consulta/processo/pastadigital/092025000017919","09.2025.00001791-9")</f>
        <v>09.2025.00001791-9</v>
      </c>
      <c r="D107" s="4">
        <v>45685</v>
      </c>
      <c r="E107" s="16" t="s">
        <v>254</v>
      </c>
      <c r="F107" s="2" t="s">
        <v>255</v>
      </c>
      <c r="G107" s="5" t="str">
        <f>HYPERLINK("http://www8.mpce.mp.br/Empenhos/150001/NE/2025NE000244.pdf","2025NE000244")</f>
        <v>2025NE000244</v>
      </c>
      <c r="H107" s="6">
        <v>373.86</v>
      </c>
      <c r="I107" s="7" t="s">
        <v>82</v>
      </c>
      <c r="J107" s="10" t="s">
        <v>299</v>
      </c>
      <c r="L107" s="13"/>
    </row>
    <row r="108" spans="1:12" x14ac:dyDescent="0.25">
      <c r="A108" s="12" t="s">
        <v>159</v>
      </c>
      <c r="B108" s="2" t="s">
        <v>253</v>
      </c>
      <c r="C108" s="3" t="str">
        <f>HYPERLINK("https://transparencia-area-fim.mpce.mp.br/#/consulta/processo/pastadigital/09MOD IP 2184 ÁGUA","09.MOD. IP 2184 ÁGUA")</f>
        <v>09.MOD. IP 2184 ÁGUA</v>
      </c>
      <c r="D108" s="4">
        <v>45685</v>
      </c>
      <c r="E108" s="16" t="s">
        <v>300</v>
      </c>
      <c r="F108" s="2" t="s">
        <v>255</v>
      </c>
      <c r="G108" s="5" t="str">
        <f>HYPERLINK("http://www8.mpce.mp.br/Empenhos/150001/NE/2025NE000245.pdf","2025NE000245")</f>
        <v>2025NE000245</v>
      </c>
      <c r="H108" s="6">
        <v>615</v>
      </c>
      <c r="I108" s="7" t="s">
        <v>80</v>
      </c>
      <c r="J108" s="10" t="s">
        <v>301</v>
      </c>
      <c r="L108" s="13"/>
    </row>
    <row r="109" spans="1:12" x14ac:dyDescent="0.25">
      <c r="A109" s="12" t="s">
        <v>159</v>
      </c>
      <c r="B109" s="2" t="s">
        <v>253</v>
      </c>
      <c r="C109" s="3" t="str">
        <f>HYPERLINK("https://transparencia-area-fim.mpce.mp.br/#/consulta/processo/pastadigital/092025000018129","09.2025.00001812-9")</f>
        <v>09.2025.00001812-9</v>
      </c>
      <c r="D109" s="4">
        <v>45685</v>
      </c>
      <c r="E109" s="16" t="s">
        <v>254</v>
      </c>
      <c r="F109" s="2" t="s">
        <v>255</v>
      </c>
      <c r="G109" s="5" t="str">
        <f>HYPERLINK("http://www8.mpce.mp.br/Empenhos/150001/NE/2025NE000247.pdf","2025NE000247")</f>
        <v>2025NE000247</v>
      </c>
      <c r="H109" s="6">
        <v>615</v>
      </c>
      <c r="I109" s="7" t="s">
        <v>80</v>
      </c>
      <c r="J109" s="10" t="s">
        <v>301</v>
      </c>
      <c r="L109" s="13"/>
    </row>
    <row r="110" spans="1:12" x14ac:dyDescent="0.25">
      <c r="A110" s="12" t="s">
        <v>19</v>
      </c>
      <c r="B110" s="2" t="s">
        <v>302</v>
      </c>
      <c r="C110" s="3" t="str">
        <f>HYPERLINK("https://transparencia-area-fim.mpce.mp.br/#/consulta/processo/pastadigital/092021000349974","09.2021.00034997-4")</f>
        <v>09.2021.00034997-4</v>
      </c>
      <c r="D110" s="4">
        <v>45695</v>
      </c>
      <c r="E110" s="16" t="str">
        <f>HYPERLINK("https://www8.mpce.mp.br/Empenhos/150001/Objeto/01-2022.pdf","EMPENHO REF. SUPORTE TÉCNICO PARA DESENVOLVIMENTO E IMPLEMENTAÇÃO DE CAMADA DE INTEROPERABILIDADE, INCLUINDO SERVIÇOS DE INTEGRAÇÃO DE SISTEMAS, CONF. CONTRATO 001/2022, REF. JA"&amp;"N/2025, POR ESTIMATIVA.")</f>
        <v>EMPENHO REF. SUPORTE TÉCNICO PARA DESENVOLVIMENTO E IMPLEMENTAÇÃO DE CAMADA DE INTEROPERABILIDADE, INCLUINDO SERVIÇOS DE INTEGRAÇÃO DE SISTEMAS, CONF. CONTRATO 001/2022, REF. JAN/2025, POR ESTIMATIVA.</v>
      </c>
      <c r="F110" s="2" t="s">
        <v>231</v>
      </c>
      <c r="G110" s="5" t="str">
        <f>HYPERLINK("http://www8.mpce.mp.br/Empenhos/150501/NE/2025NE000250.pdf","2025NE000250")</f>
        <v>2025NE000250</v>
      </c>
      <c r="H110" s="6">
        <v>36672</v>
      </c>
      <c r="I110" s="7" t="s">
        <v>51</v>
      </c>
      <c r="J110" s="10" t="s">
        <v>212</v>
      </c>
      <c r="L110" s="13"/>
    </row>
    <row r="111" spans="1:12" x14ac:dyDescent="0.25">
      <c r="A111" s="12" t="s">
        <v>159</v>
      </c>
      <c r="B111" s="2" t="s">
        <v>303</v>
      </c>
      <c r="C111" s="3" t="str">
        <f>HYPERLINK("http://www8.mpce.mp.br/Inexigibilidade/1045920194.pdf","10459/2019-4")</f>
        <v>10459/2019-4</v>
      </c>
      <c r="D111" s="4">
        <v>45698</v>
      </c>
      <c r="E111" s="16" t="str">
        <f>HYPERLINK("https://www8.mpce.mp.br/Empenhos/150001/Objeto/47-2019.pdf","ANÁLISES FÍSICO QUÍMICAS EM AMOSTRAS DE COMBUSTÍVEIS (GASOLINA, ÓLEO DIESEL E ETANOL) PARA VERIFICAÇÃO DA QUALIDADE DE ACORDO COM AS ESPECIFICAÇÕES DAS RESOLUÇÕES DA AGÊNCIA NAC"&amp;"IONAL DO PETRÓLEO, GÁS NATURAL E BIOCOMBUSTÍVEIS (ANP), CONF. CONTRATO Nº 047/2019, REF. AOS MESES FEVEREIRO, MARÇO E ABRIL DE 2025.")</f>
        <v>ANÁLISES FÍSICO QUÍMICAS EM AMOSTRAS DE COMBUSTÍVEIS (GASOLINA, ÓLEO DIESEL E ETANOL) PARA VERIFICAÇÃO DA QUALIDADE DE ACORDO COM AS ESPECIFICAÇÕES DAS RESOLUÇÕES DA AGÊNCIA NACIONAL DO PETRÓLEO, GÁS NATURAL E BIOCOMBUSTÍVEIS (ANP), CONF. CONTRATO Nº 047/2019, REF. AOS MESES FEVEREIRO, MARÇO E ABRIL DE 2025.</v>
      </c>
      <c r="F111" s="2" t="s">
        <v>214</v>
      </c>
      <c r="G111" s="5" t="str">
        <f>HYPERLINK("http://www8.mpce.mp.br/Empenhos/150501/NE/2025NE000251.pdf","2025NE000251")</f>
        <v>2025NE000251</v>
      </c>
      <c r="H111" s="6">
        <v>18449.759999999998</v>
      </c>
      <c r="I111" s="7" t="s">
        <v>35</v>
      </c>
      <c r="J111" s="10" t="s">
        <v>170</v>
      </c>
      <c r="L111" s="13"/>
    </row>
    <row r="112" spans="1:12" x14ac:dyDescent="0.25">
      <c r="A112" s="12" t="s">
        <v>19</v>
      </c>
      <c r="B112" s="2" t="s">
        <v>243</v>
      </c>
      <c r="C112" s="3" t="str">
        <f>HYPERLINK("https://transparencia-area-fim.mpce.mp.br/#/consulta/processo/pastadigital/092024000176845","09.2024.00017684-5")</f>
        <v>09.2024.00017684-5</v>
      </c>
      <c r="D112" s="4">
        <v>45698</v>
      </c>
      <c r="E112" s="16" t="str">
        <f>HYPERLINK("https://www8.mpce.mp.br/Empenhos/150001/Objeto/58-2024.pdf","EMPENHO REF. SERVIÇOS ESPECIALIZADOS EM SEGURANÇA (ANTIVÍRUS), CONF. CONTRATO 058/2024, REF. JAN/2025, POR ESTIMATIVA.")</f>
        <v>EMPENHO REF. SERVIÇOS ESPECIALIZADOS EM SEGURANÇA (ANTIVÍRUS), CONF. CONTRATO 058/2024, REF. JAN/2025, POR ESTIMATIVA.</v>
      </c>
      <c r="F112" s="2" t="s">
        <v>211</v>
      </c>
      <c r="G112" s="5" t="str">
        <f>HYPERLINK("http://www8.mpce.mp.br/Empenhos/150501/NE/2025NE000253.pdf","2025NE000253")</f>
        <v>2025NE000253</v>
      </c>
      <c r="H112" s="6">
        <v>122950.65</v>
      </c>
      <c r="I112" s="7" t="s">
        <v>51</v>
      </c>
      <c r="J112" s="10" t="s">
        <v>212</v>
      </c>
      <c r="L112" s="13"/>
    </row>
    <row r="113" spans="1:12" x14ac:dyDescent="0.25">
      <c r="A113" s="12" t="s">
        <v>159</v>
      </c>
      <c r="B113" s="2" t="s">
        <v>191</v>
      </c>
      <c r="C113" s="3" t="str">
        <f>HYPERLINK("https://transparencia-area-fim.mpce.mp.br/#/consulta/processo/pastadigital/092023000293915","09.2023.00029391-5")</f>
        <v>09.2023.00029391-5</v>
      </c>
      <c r="D113" s="4">
        <v>45698</v>
      </c>
      <c r="E113" s="16" t="str">
        <f>HYPERLINK("https://www8.mpce.mp.br/Empenhos/150001/Objeto/54-2023.pdf","EMPENHO REF. ALUGUEL DE IMÓVEL ONDE FUNCIONA GALPÃO DO ALMOXARIFADO E PATRIMÔNIO DA PGJ, CONF. CONTRATO 054/2023, REF. FEV/2025, POR ESTIMATIVA.")</f>
        <v>EMPENHO REF. ALUGUEL DE IMÓVEL ONDE FUNCIONA GALPÃO DO ALMOXARIFADO E PATRIMÔNIO DA PGJ, CONF. CONTRATO 054/2023, REF. FEV/2025, POR ESTIMATIVA.</v>
      </c>
      <c r="F113" s="2" t="s">
        <v>130</v>
      </c>
      <c r="G113" s="5" t="str">
        <f>HYPERLINK("http://www8.mpce.mp.br/Empenhos/150501/NE/2025NE000256.pdf","2025NE000256")</f>
        <v>2025NE000256</v>
      </c>
      <c r="H113" s="6">
        <v>22000</v>
      </c>
      <c r="I113" s="7" t="s">
        <v>30</v>
      </c>
      <c r="J113" s="10" t="s">
        <v>161</v>
      </c>
      <c r="L113" s="13"/>
    </row>
    <row r="114" spans="1:12" x14ac:dyDescent="0.25">
      <c r="A114" s="12" t="s">
        <v>19</v>
      </c>
      <c r="B114" s="2" t="s">
        <v>187</v>
      </c>
      <c r="C114" s="3" t="str">
        <f>HYPERLINK("http://www8.mpce.mp.br/Dispensa/1984020196.pdf","19840/2019-6")</f>
        <v>19840/2019-6</v>
      </c>
      <c r="D114" s="4">
        <v>45698</v>
      </c>
      <c r="E114" s="16" t="str">
        <f>HYPERLINK("https://www8.mpce.mp.br/Empenhos/150001/Objeto/48-2019.pdf","EMPENHO REF. ALUGUEL DO IMÓVEL ONDE FUNCIONA SEDE DE  PROMOTORIAS DE JUSTIÇA DA COMARCA DE CAUCAIA, CONF. CONTRATO 048/2019, REF. FEV/2025, POR ESTIMATIVA.")</f>
        <v>EMPENHO REF. ALUGUEL DO IMÓVEL ONDE FUNCIONA SEDE DE  PROMOTORIAS DE JUSTIÇA DA COMARCA DE CAUCAIA, CONF. CONTRATO 048/2019, REF. FEV/2025, POR ESTIMATIVA.</v>
      </c>
      <c r="F114" s="2" t="s">
        <v>130</v>
      </c>
      <c r="G114" s="5" t="str">
        <f>HYPERLINK("http://www8.mpce.mp.br/Empenhos/150501/NE/2025NE000259.pdf","2025NE000259")</f>
        <v>2025NE000259</v>
      </c>
      <c r="H114" s="6">
        <v>47253.13</v>
      </c>
      <c r="I114" s="7" t="s">
        <v>27</v>
      </c>
      <c r="J114" s="10" t="s">
        <v>154</v>
      </c>
      <c r="L114" s="13"/>
    </row>
    <row r="115" spans="1:12" x14ac:dyDescent="0.25">
      <c r="A115" s="12" t="s">
        <v>159</v>
      </c>
      <c r="B115" s="2" t="s">
        <v>304</v>
      </c>
      <c r="C115" s="3" t="str">
        <f>HYPERLINK("https://transparencia-area-fim.mpce.mp.br/#/consulta/processo/pastadigital/092025000008820","09.2025.00000882-0")</f>
        <v>09.2025.00000882-0</v>
      </c>
      <c r="D115" s="4">
        <v>45686</v>
      </c>
      <c r="E115" s="16" t="str">
        <f>HYPERLINK("https://www8.mpce.mp.br/Empenhos/150001/Objeto/6-2024..pdf","PRESTAÇÃO DE SERVIÇOS DE CONSULTORIA E TREINAMENTO EM GESTÃO DE INDICADORES PARA RESULTADOS, CONTEMPLANDO MAPEAMENTO E ACOMPANHAMENTO DE DADOS, COM USO DE SOLUÇÃO TECNOLÓGICA, C"&amp;"ONFORME CRONOGRAMA DE EXECUÇÃO DISPOSTO NO CONTRATO 096/2024, REF. AO MÊS DE JANEIRO DE 2025.")</f>
        <v>PRESTAÇÃO DE SERVIÇOS DE CONSULTORIA E TREINAMENTO EM GESTÃO DE INDICADORES PARA RESULTADOS, CONTEMPLANDO MAPEAMENTO E ACOMPANHAMENTO DE DADOS, COM USO DE SOLUÇÃO TECNOLÓGICA, CONFORME CRONOGRAMA DE EXECUÇÃO DISPOSTO NO CONTRATO 096/2024, REF. AO MÊS DE JANEIRO DE 2025.</v>
      </c>
      <c r="F115" s="2" t="s">
        <v>214</v>
      </c>
      <c r="G115" s="5" t="str">
        <f>HYPERLINK("http://www8.mpce.mp.br/Empenhos/150001/NE/2025NE000259.pdf","2025NE000259")</f>
        <v>2025NE000259</v>
      </c>
      <c r="H115" s="6">
        <v>51656.639999999999</v>
      </c>
      <c r="I115" s="7" t="s">
        <v>305</v>
      </c>
      <c r="J115" s="10" t="s">
        <v>306</v>
      </c>
    </row>
    <row r="116" spans="1:12" x14ac:dyDescent="0.25">
      <c r="A116" s="12" t="s">
        <v>19</v>
      </c>
      <c r="B116" s="2" t="s">
        <v>187</v>
      </c>
      <c r="C116" s="3" t="str">
        <f>HYPERLINK("https://transparencia-area-fim.mpce.mp.br/#/consulta/processo/pastadigital/092023000338563","09.2023.00033856-3")</f>
        <v>09.2023.00033856-3</v>
      </c>
      <c r="D116" s="4">
        <v>45698</v>
      </c>
      <c r="E116" s="16" t="str">
        <f>HYPERLINK("https://www8.mpce.mp.br/Empenhos/150001/Objeto/01-2024.pdf","EMPENHO REF. ALUGUEL DE IMÓVEL ONDE FUNCIONA SEDE DE PROMOTORIAS DE JUSTIÇA DA COMARCA DE AQUIRAZ-CE, CONF. CONTRATO 001/2024, REF. FEV/2025, POR ESTIMATIVA.")</f>
        <v>EMPENHO REF. ALUGUEL DE IMÓVEL ONDE FUNCIONA SEDE DE PROMOTORIAS DE JUSTIÇA DA COMARCA DE AQUIRAZ-CE, CONF. CONTRATO 001/2024, REF. FEV/2025, POR ESTIMATIVA.</v>
      </c>
      <c r="F116" s="2" t="s">
        <v>130</v>
      </c>
      <c r="G116" s="5" t="str">
        <f>HYPERLINK("http://www8.mpce.mp.br/Empenhos/150501/NE/2025NE000260.pdf","2025NE000260")</f>
        <v>2025NE000260</v>
      </c>
      <c r="H116" s="6">
        <v>16440</v>
      </c>
      <c r="I116" s="7" t="s">
        <v>27</v>
      </c>
      <c r="J116" s="10" t="s">
        <v>154</v>
      </c>
      <c r="L116" s="13"/>
    </row>
    <row r="117" spans="1:12" x14ac:dyDescent="0.25">
      <c r="A117" s="12" t="s">
        <v>19</v>
      </c>
      <c r="B117" s="2" t="s">
        <v>187</v>
      </c>
      <c r="C117" s="3" t="str">
        <f>HYPERLINK("https://transparencia-area-fim.mpce.mp.br/#/consulta/processo/pastadigital/092021000063220","09.2021.00006322-0")</f>
        <v>09.2021.00006322-0</v>
      </c>
      <c r="D117" s="4">
        <v>45698</v>
      </c>
      <c r="E117" s="16" t="str">
        <f>HYPERLINK("https://www8.mpce.mp.br/Empenhos/150001/Objeto/33-2021.pdf","EMPENHO REF. ALUGUEL DE IMÓVEL ONDE FUNCIONA SEDE DE PROMOTORIAS DE JUSTIÇA DA COMARCA DE SOBRAL, CONF. CONTRATO 033/2021, REF. FEV/2025, POR ESTIMATIVA.")</f>
        <v>EMPENHO REF. ALUGUEL DE IMÓVEL ONDE FUNCIONA SEDE DE PROMOTORIAS DE JUSTIÇA DA COMARCA DE SOBRAL, CONF. CONTRATO 033/2021, REF. FEV/2025, POR ESTIMATIVA.</v>
      </c>
      <c r="F117" s="2" t="s">
        <v>130</v>
      </c>
      <c r="G117" s="5" t="str">
        <f>HYPERLINK("http://www8.mpce.mp.br/Empenhos/150501/NE/2025NE000262.pdf","2025NE000262")</f>
        <v>2025NE000262</v>
      </c>
      <c r="H117" s="6">
        <v>33400.11</v>
      </c>
      <c r="I117" s="7" t="s">
        <v>21</v>
      </c>
      <c r="J117" s="10" t="s">
        <v>140</v>
      </c>
      <c r="L117" s="13"/>
    </row>
    <row r="118" spans="1:12" x14ac:dyDescent="0.25">
      <c r="A118" s="12" t="s">
        <v>159</v>
      </c>
      <c r="B118" s="2" t="s">
        <v>191</v>
      </c>
      <c r="C118" s="3" t="str">
        <f>HYPERLINK("https://transparencia-area-fim.mpce.mp.br/#/consulta/processo/pastadigital/092022000409094","09.2022.00040909-4")</f>
        <v>09.2022.00040909-4</v>
      </c>
      <c r="D118" s="4">
        <v>45698</v>
      </c>
      <c r="E118" s="16" t="str">
        <f>HYPERLINK("https://www8.mpce.mp.br/Empenhos/150001/Objeto/41-2023.pdf","EMPENHO REF. ALUGUEL DE IMÓVEL ONDE FUNCIONA SEDE DE PROMOTORIAS DE JUSTIÇA DE GUARACIABA DO NORTE, CONF. CONTRATO 041/2023, REF. FEV/2025, POR ESTIMATIVA.")</f>
        <v>EMPENHO REF. ALUGUEL DE IMÓVEL ONDE FUNCIONA SEDE DE PROMOTORIAS DE JUSTIÇA DE GUARACIABA DO NORTE, CONF. CONTRATO 041/2023, REF. FEV/2025, POR ESTIMATIVA.</v>
      </c>
      <c r="F118" s="2" t="s">
        <v>31</v>
      </c>
      <c r="G118" s="5" t="str">
        <f>HYPERLINK("http://www8.mpce.mp.br/Empenhos/150501/NE/2025NE000264.pdf","2025NE000264")</f>
        <v>2025NE000264</v>
      </c>
      <c r="H118" s="6">
        <v>2300</v>
      </c>
      <c r="I118" s="7" t="s">
        <v>45</v>
      </c>
      <c r="J118" s="10" t="s">
        <v>193</v>
      </c>
      <c r="L118" s="13"/>
    </row>
    <row r="119" spans="1:12" x14ac:dyDescent="0.25">
      <c r="A119" s="12" t="s">
        <v>159</v>
      </c>
      <c r="B119" s="2" t="s">
        <v>307</v>
      </c>
      <c r="C119" s="3" t="str">
        <f>HYPERLINK("https://transparencia-area-fim.mpce.mp.br/#/consulta/processo/pastadigital/092023000255300","09.2023.00025530-0")</f>
        <v>09.2023.00025530-0</v>
      </c>
      <c r="D119" s="4">
        <v>45706</v>
      </c>
      <c r="E119" s="16" t="str">
        <f>HYPERLINK("https://www8.mpce.mp.br/Empenhos/150001/Objeto/42-2024.pdf","SISTEMA SAJ-MP "&amp;" SOB DEMANDA, CONF. CONTRATO Nº 042/2024, REF. AOS DE JANEIRO E FEVEREIRO DE 2025.")</f>
        <v>SISTEMA SAJ-MP  SOB DEMANDA, CONF. CONTRATO Nº 042/2024, REF. AOS DE JANEIRO E FEVEREIRO DE 2025.</v>
      </c>
      <c r="F119" s="2" t="s">
        <v>279</v>
      </c>
      <c r="G119" s="5" t="str">
        <f>HYPERLINK("http://www8.mpce.mp.br/Empenhos/150501/NE/2025NE000268.pdf","2025NE000268")</f>
        <v>2025NE000268</v>
      </c>
      <c r="H119" s="6">
        <v>88000</v>
      </c>
      <c r="I119" s="7" t="s">
        <v>73</v>
      </c>
      <c r="J119" s="10" t="s">
        <v>280</v>
      </c>
      <c r="L119" s="13"/>
    </row>
    <row r="120" spans="1:12" x14ac:dyDescent="0.25">
      <c r="A120" s="12" t="s">
        <v>159</v>
      </c>
      <c r="B120" s="2" t="s">
        <v>308</v>
      </c>
      <c r="C120" s="3" t="str">
        <f>HYPERLINK("https://transparencia-area-fim.mpce.mp.br/#/consulta/processo/pastadigital/092024000189230","09.2024.00018923-0")</f>
        <v>09.2024.00018923-0</v>
      </c>
      <c r="D120" s="4">
        <v>45687</v>
      </c>
      <c r="E120" s="16" t="str">
        <f>HYPERLINK("https://www8.mpce.mp.br/Empenhos/150001/Objeto/84-2024.pdf","FORNECIMENTO DE ENERGIA ELÉTRICA EM BAIXA TENSÃOA DIVERSAS UNIDADES MINISTERIAIS DA PGJ NO CEARÁ, CONF. CONTRATO Nº 084/2024, REF. AO MÊS DE JANEIRO DE 2025.")</f>
        <v>FORNECIMENTO DE ENERGIA ELÉTRICA EM BAIXA TENSÃOA DIVERSAS UNIDADES MINISTERIAIS DA PGJ NO CEARÁ, CONF. CONTRATO Nº 084/2024, REF. AO MÊS DE JANEIRO DE 2025.</v>
      </c>
      <c r="F120" s="2" t="s">
        <v>309</v>
      </c>
      <c r="G120" s="5" t="str">
        <f>HYPERLINK("http://www8.mpce.mp.br/Empenhos/150001/NE/2025NE000275.pdf","2025NE000275")</f>
        <v>2025NE000275</v>
      </c>
      <c r="H120" s="6">
        <v>150000</v>
      </c>
      <c r="I120" s="7" t="s">
        <v>310</v>
      </c>
      <c r="J120" s="10" t="s">
        <v>311</v>
      </c>
      <c r="L120" s="13"/>
    </row>
    <row r="121" spans="1:12" x14ac:dyDescent="0.25">
      <c r="A121" s="12" t="s">
        <v>159</v>
      </c>
      <c r="B121" s="2" t="s">
        <v>312</v>
      </c>
      <c r="C121" s="3" t="str">
        <f>HYPERLINK("https://transparencia-area-fim.mpce.mp.br/#/consulta/processo/pastadigital/092024000189230","09.2024.00018923-0")</f>
        <v>09.2024.00018923-0</v>
      </c>
      <c r="D121" s="4">
        <v>45687</v>
      </c>
      <c r="E121" s="16" t="str">
        <f>HYPERLINK("https://www8.mpce.mp.br/Empenhos/150001/Objeto/99-2024.pdf","FORNECIMENTO DE ENERGIA ELÉTRICA EM ALTA TENSÃO OPTANTE PELO GRUPO B A DIVERSAS UNIDADES MINISTERIAIS DA PGJ NO CEARÁ, CONF. CONTRATO Nº 099/2024, REF. AO MÊS DE JANEIRO.")</f>
        <v>FORNECIMENTO DE ENERGIA ELÉTRICA EM ALTA TENSÃO OPTANTE PELO GRUPO B A DIVERSAS UNIDADES MINISTERIAIS DA PGJ NO CEARÁ, CONF. CONTRATO Nº 099/2024, REF. AO MÊS DE JANEIRO.</v>
      </c>
      <c r="F121" s="2" t="s">
        <v>309</v>
      </c>
      <c r="G121" s="5" t="str">
        <f>HYPERLINK("http://www8.mpce.mp.br/Empenhos/150001/NE/2025NE000279.pdf","2025NE000279")</f>
        <v>2025NE000279</v>
      </c>
      <c r="H121" s="6">
        <v>20000</v>
      </c>
      <c r="I121" s="7" t="s">
        <v>310</v>
      </c>
      <c r="J121" s="10" t="s">
        <v>311</v>
      </c>
      <c r="L121" s="13"/>
    </row>
    <row r="122" spans="1:12" x14ac:dyDescent="0.25">
      <c r="A122" s="12" t="s">
        <v>159</v>
      </c>
      <c r="B122" s="2" t="s">
        <v>313</v>
      </c>
      <c r="C122" s="3" t="str">
        <f>HYPERLINK("https://transparencia-area-fim.mpce.mp.br/#/consulta/processo/pastadigital/092024000189230","09.2024.00018923-0")</f>
        <v>09.2024.00018923-0</v>
      </c>
      <c r="D122" s="4">
        <v>45687</v>
      </c>
      <c r="E122" s="16" t="str">
        <f>HYPERLINK("https://www8.mpce.mp.br/Empenhos/150001/Objeto/98-2024.pdf","FORNECIMENTO DE ENERGIA ELÉTRICA EM ALTA TENSÃO O A DIVERSAS UNIDADES MINISTERIAIS DA PGJ NO CEARÁ, CONF. CONTRATO Nº 098/2024, REF. AO MÊS DE JANEIRO DE 2025.")</f>
        <v>FORNECIMENTO DE ENERGIA ELÉTRICA EM ALTA TENSÃO O A DIVERSAS UNIDADES MINISTERIAIS DA PGJ NO CEARÁ, CONF. CONTRATO Nº 098/2024, REF. AO MÊS DE JANEIRO DE 2025.</v>
      </c>
      <c r="F122" s="2" t="s">
        <v>309</v>
      </c>
      <c r="G122" s="5" t="str">
        <f>HYPERLINK("http://www8.mpce.mp.br/Empenhos/150001/NE/2025NE000280.pdf","2025NE000280")</f>
        <v>2025NE000280</v>
      </c>
      <c r="H122" s="6">
        <v>250000</v>
      </c>
      <c r="I122" s="7" t="s">
        <v>310</v>
      </c>
      <c r="J122" s="10" t="s">
        <v>311</v>
      </c>
      <c r="L122" s="13"/>
    </row>
    <row r="123" spans="1:12" x14ac:dyDescent="0.25">
      <c r="A123" s="12" t="s">
        <v>159</v>
      </c>
      <c r="B123" s="2" t="s">
        <v>314</v>
      </c>
      <c r="C123" s="3" t="str">
        <f>HYPERLINK("https://transparencia-area-fim.mpce.mp.br/#/consulta/processo/pastadigital/092024000031194","09.2024.00003119-4")</f>
        <v>09.2024.00003119-4</v>
      </c>
      <c r="D123" s="4">
        <v>45691</v>
      </c>
      <c r="E123" s="16" t="str">
        <f>HYPERLINK("https://www8.mpce.mp.br/Empenhos/150001/Objeto/35-2024.pdf","PAGAMENTO MENSALIDADE (1/2) MEIA BOLSA DOS 07 ALUNOS EM ESPECIALIZAÇÃO EM DIREITO PENAL E PROCESSUAL PENAL MEMBROS E SERVIDORES EFETIVOS DO MPCE, REF. AO ANO DE 2025, CONF. 035/"&amp;"2024.")</f>
        <v>PAGAMENTO MENSALIDADE (1/2) MEIA BOLSA DOS 07 ALUNOS EM ESPECIALIZAÇÃO EM DIREITO PENAL E PROCESSUAL PENAL MEMBROS E SERVIDORES EFETIVOS DO MPCE, REF. AO ANO DE 2025, CONF. 035/2024.</v>
      </c>
      <c r="F123" s="2" t="s">
        <v>221</v>
      </c>
      <c r="G123" s="5" t="str">
        <f>HYPERLINK("http://www8.mpce.mp.br/Empenhos/150001/NE/2025NE000310.pdf","2025NE000310")</f>
        <v>2025NE000310</v>
      </c>
      <c r="H123" s="6">
        <v>18900</v>
      </c>
      <c r="I123" s="7" t="s">
        <v>315</v>
      </c>
      <c r="J123" s="10" t="s">
        <v>316</v>
      </c>
      <c r="L123" s="13"/>
    </row>
    <row r="124" spans="1:12" x14ac:dyDescent="0.25">
      <c r="A124" s="12" t="s">
        <v>159</v>
      </c>
      <c r="B124" s="2" t="s">
        <v>317</v>
      </c>
      <c r="C124" s="3" t="str">
        <f>HYPERLINK("https://transparencia-area-fim.mpce.mp.br/#/consulta/processo/pastadigital/092025000002037","09.2025.00000203-7")</f>
        <v>09.2025.00000203-7</v>
      </c>
      <c r="D124" s="4">
        <v>45705</v>
      </c>
      <c r="E124" s="16" t="s">
        <v>318</v>
      </c>
      <c r="F124" s="2" t="s">
        <v>221</v>
      </c>
      <c r="G124" s="5" t="str">
        <f>HYPERLINK("http://www8.mpce.mp.br/Empenhos/150001/NE/2025NE000313.pdf","2025NE000313")</f>
        <v>2025NE000313</v>
      </c>
      <c r="H124" s="6">
        <v>34500</v>
      </c>
      <c r="I124" s="7" t="s">
        <v>319</v>
      </c>
      <c r="J124" s="10" t="s">
        <v>320</v>
      </c>
      <c r="L124" s="13"/>
    </row>
    <row r="125" spans="1:12" x14ac:dyDescent="0.25">
      <c r="A125" s="12" t="s">
        <v>19</v>
      </c>
      <c r="B125" s="2" t="s">
        <v>321</v>
      </c>
      <c r="C125" s="3" t="str">
        <f>HYPERLINK("https://transparencia-area-fim.mpce.mp.br/#/consulta/processo/pastadigital/092024000382620","09.2024.00038262-0")</f>
        <v>09.2024.00038262-0</v>
      </c>
      <c r="D125" s="4">
        <v>45702</v>
      </c>
      <c r="E125" s="16" t="str">
        <f>HYPERLINK("https://www8.mpce.mp.br/Empenhos/150001/Objeto/02-2025.pdf","SERVIÇOS DE SUPORTE E FORNECIMENTO DOS SERVIÇOS COMPUTACIONAIS DA PLATAFORMA GOOGLE MAPS, CONF. CONTRATO Nº 002/2025, REF. AOS MESES DE JANEIRO À MARÇO DE 2025.")</f>
        <v>SERVIÇOS DE SUPORTE E FORNECIMENTO DOS SERVIÇOS COMPUTACIONAIS DA PLATAFORMA GOOGLE MAPS, CONF. CONTRATO Nº 002/2025, REF. AOS MESES DE JANEIRO À MARÇO DE 2025.</v>
      </c>
      <c r="F125" s="2" t="s">
        <v>279</v>
      </c>
      <c r="G125" s="5" t="str">
        <f>HYPERLINK("http://www8.mpce.mp.br/Empenhos/150501/NE/2025NE000319.pdf","2025NE000319")</f>
        <v>2025NE000319</v>
      </c>
      <c r="H125" s="6">
        <v>1311</v>
      </c>
      <c r="I125" s="7" t="s">
        <v>83</v>
      </c>
      <c r="J125" s="10" t="s">
        <v>322</v>
      </c>
      <c r="L125" s="13"/>
    </row>
    <row r="126" spans="1:12" x14ac:dyDescent="0.25">
      <c r="A126" s="12" t="s">
        <v>159</v>
      </c>
      <c r="B126" s="2" t="s">
        <v>160</v>
      </c>
      <c r="C126" s="3" t="str">
        <f>HYPERLINK("https://transparencia-area-fim.mpce.mp.br/#/consulta/processo/pastadigital/092023000293915","09.2023.00029391-5")</f>
        <v>09.2023.00029391-5</v>
      </c>
      <c r="D126" s="4">
        <v>45707</v>
      </c>
      <c r="E126" s="16" t="str">
        <f>HYPERLINK("https://www8.mpce.mp.br/Empenhos/150001/Objeto/54-2023.pdf","REFERENTE A PARCELA ÚNICA DE IPTU DO GALPÃO DE ALMOXARIFADO, LOCALIZADO NA RUA NENZINHA PARENTE, 590, BAIRRO JANGURUSSU, REF. AO CONTRATO Nº 054/2023.")</f>
        <v>REFERENTE A PARCELA ÚNICA DE IPTU DO GALPÃO DE ALMOXARIFADO, LOCALIZADO NA RUA NENZINHA PARENTE, 590, BAIRRO JANGURUSSU, REF. AO CONTRATO Nº 054/2023.</v>
      </c>
      <c r="F126" s="2" t="s">
        <v>323</v>
      </c>
      <c r="G126" s="5" t="str">
        <f>HYPERLINK("http://www8.mpce.mp.br/Empenhos/150501/NE/2025NE000329.pdf","2025NE000329")</f>
        <v>2025NE000329</v>
      </c>
      <c r="H126" s="6">
        <v>4093.37</v>
      </c>
      <c r="I126" s="7" t="s">
        <v>30</v>
      </c>
      <c r="J126" s="10" t="s">
        <v>161</v>
      </c>
      <c r="L126" s="13"/>
    </row>
    <row r="127" spans="1:12" x14ac:dyDescent="0.25">
      <c r="A127" s="12" t="s">
        <v>19</v>
      </c>
      <c r="B127" s="2" t="s">
        <v>324</v>
      </c>
      <c r="C127" s="3" t="str">
        <f>HYPERLINK("http://www8.mpce.mp.br/Dispensa/4793720162.pdf","4793720162")</f>
        <v>4793720162</v>
      </c>
      <c r="D127" s="4">
        <v>45707</v>
      </c>
      <c r="E127" s="16" t="str">
        <f>HYPERLINK("https://www8.mpce.mp.br/Empenhos/150001/Objeto/14-2017.pdf","IPTU/2025- PARCELA ÚNICA- REF. AO IMÓVEL ONDE FUNCIONA O GALPÃO DE ALMOXARIFADO, LOCALIZADO NA RUA NENZINHA PARENTE ,610, BAIRRO JANGURUSSU, CONF. CONTRATO Nº 014/2017.")</f>
        <v>IPTU/2025- PARCELA ÚNICA- REF. AO IMÓVEL ONDE FUNCIONA O GALPÃO DE ALMOXARIFADO, LOCALIZADO NA RUA NENZINHA PARENTE ,610, BAIRRO JANGURUSSU, CONF. CONTRATO Nº 014/2017.</v>
      </c>
      <c r="F127" s="2" t="s">
        <v>323</v>
      </c>
      <c r="G127" s="5" t="str">
        <f>HYPERLINK("http://www8.mpce.mp.br/Empenhos/150501/NE/2025NE000333.pdf","2025NE000333")</f>
        <v>2025NE000333</v>
      </c>
      <c r="H127" s="6">
        <v>6287.35</v>
      </c>
      <c r="I127" s="7" t="s">
        <v>30</v>
      </c>
      <c r="J127" s="10" t="s">
        <v>161</v>
      </c>
    </row>
    <row r="128" spans="1:12" x14ac:dyDescent="0.25">
      <c r="A128" s="12" t="s">
        <v>19</v>
      </c>
      <c r="B128" s="2" t="s">
        <v>325</v>
      </c>
      <c r="C128" s="3" t="str">
        <f>HYPERLINK("http://www8.mpce.mp.br/Dispensa/842220170.pdf","8422/20170")</f>
        <v>8422/20170</v>
      </c>
      <c r="D128" s="4">
        <v>45708</v>
      </c>
      <c r="E128" s="16" t="str">
        <f>HYPERLINK("https://www8.mpce.mp.br/Empenhos/150001/Objeto/16-2017.pdf","IPTU/2025 REFERENTE À 1ª PARCELA ONDE FUNCIONAM AS PROMOTORIAS DE JUSTIÇA CRIMINAIS, LOCALIZADA NA AV. CORONEL JOSÉ PHILOMENO GOMES, 222, BAIRRO LUCIANO CAVALCANTE, CONF. CONTRA"&amp;"TO Nº 016/20217.")</f>
        <v>IPTU/2025 REFERENTE À 1ª PARCELA ONDE FUNCIONAM AS PROMOTORIAS DE JUSTIÇA CRIMINAIS, LOCALIZADA NA AV. CORONEL JOSÉ PHILOMENO GOMES, 222, BAIRRO LUCIANO CAVALCANTE, CONF. CONTRATO Nº 016/20217.</v>
      </c>
      <c r="F128" s="2" t="s">
        <v>323</v>
      </c>
      <c r="G128" s="5" t="str">
        <f>HYPERLINK("http://www8.mpce.mp.br/Empenhos/150501/NE/2025NE000342.pdf","2025NE000342")</f>
        <v>2025NE000342</v>
      </c>
      <c r="H128" s="6">
        <v>2742.41</v>
      </c>
      <c r="I128" s="7" t="s">
        <v>29</v>
      </c>
      <c r="J128" s="10" t="s">
        <v>158</v>
      </c>
      <c r="L128" s="13"/>
    </row>
    <row r="129" spans="1:12" x14ac:dyDescent="0.25">
      <c r="A129" s="12" t="s">
        <v>19</v>
      </c>
      <c r="B129" s="2" t="s">
        <v>326</v>
      </c>
      <c r="C129" s="3" t="str">
        <f>HYPERLINK("https://transparencia-area-fim.mpce.mp.br/#/consulta/processo/pastadigital/092022000111032","09.2022.00011103-2")</f>
        <v>09.2022.00011103-2</v>
      </c>
      <c r="D129" s="4">
        <v>45712</v>
      </c>
      <c r="E129" s="16" t="str">
        <f>HYPERLINK("https://www8.mpce.mp.br/Empenhos/150001/Objeto/23-2022.pdf","REFERENTE A PRESTAÇÃO DE SERVIÇOS EM NUVEM, ENGLOBANDO SERVIÇOS (IAAS), (SAAS) E (PAAS), CONF. CONTRATO Nº 023/2022, REF. AOS MESES DE JANEIRO DE FEVEREIRO DE 2025.")</f>
        <v>REFERENTE A PRESTAÇÃO DE SERVIÇOS EM NUVEM, ENGLOBANDO SERVIÇOS (IAAS), (SAAS) E (PAAS), CONF. CONTRATO Nº 023/2022, REF. AOS MESES DE JANEIRO DE FEVEREIRO DE 2025.</v>
      </c>
      <c r="F129" s="2" t="s">
        <v>211</v>
      </c>
      <c r="G129" s="5" t="str">
        <f>HYPERLINK("http://www8.mpce.mp.br/Empenhos/150501/NE/2025NE000343.pdf","2025NE000343")</f>
        <v>2025NE000343</v>
      </c>
      <c r="H129" s="6">
        <v>72933.440000000002</v>
      </c>
      <c r="I129" s="7" t="s">
        <v>51</v>
      </c>
      <c r="J129" s="10" t="s">
        <v>212</v>
      </c>
    </row>
    <row r="130" spans="1:12" x14ac:dyDescent="0.25">
      <c r="A130" s="12" t="s">
        <v>19</v>
      </c>
      <c r="B130" s="2" t="s">
        <v>327</v>
      </c>
      <c r="C130" s="3" t="str">
        <f>HYPERLINK("https://transparencia-area-fim.mpce.mp.br/#/consulta/processo/pastadigital/092023000338541","09.2023.00033854-1")</f>
        <v>09.2023.00033854-1</v>
      </c>
      <c r="D130" s="4">
        <v>45708</v>
      </c>
      <c r="E130" s="16" t="str">
        <f>HYPERLINK("https://www8.mpce.mp.br/Empenhos/150001/Objeto/36-2024.pdf","REF. ALUGUEL PROPORCIONAL DE 22 DIAS REFERENTES AO MÊS DE FEVEREIRO DE 2025, CONF. CONTRATO Nº 036/2024.")</f>
        <v>REF. ALUGUEL PROPORCIONAL DE 22 DIAS REFERENTES AO MÊS DE FEVEREIRO DE 2025, CONF. CONTRATO Nº 036/2024.</v>
      </c>
      <c r="F130" s="2" t="s">
        <v>130</v>
      </c>
      <c r="G130" s="5" t="str">
        <f>HYPERLINK("http://www8.mpce.mp.br/Empenhos/150501/NE/2025NE000344.pdf","2025NE000344")</f>
        <v>2025NE000344</v>
      </c>
      <c r="H130" s="6">
        <v>12777.6</v>
      </c>
      <c r="I130" s="7" t="s">
        <v>27</v>
      </c>
      <c r="J130" s="10" t="s">
        <v>154</v>
      </c>
      <c r="L130" s="13"/>
    </row>
    <row r="131" spans="1:12" x14ac:dyDescent="0.25">
      <c r="A131" s="12" t="s">
        <v>159</v>
      </c>
      <c r="B131" s="2" t="s">
        <v>328</v>
      </c>
      <c r="C131" s="3" t="str">
        <f>HYPERLINK("https://transparencia-area-fim.mpce.mp.br/#/consulta/processo/pastadigital/092024000306520","09.2024.00030652-0")</f>
        <v>09.2024.00030652-0</v>
      </c>
      <c r="D131" s="4">
        <v>45709</v>
      </c>
      <c r="E131" s="16" t="str">
        <f>HYPERLINK("https://www8.mpce.mp.br/Empenhos/150001/Objeto/03-2025.pdf","FORNECIMENTO DE LICENÇA DO SOFTWARE AXIOM ADVANCED BUNDLE- DONGLE, PARA EXTRAÇÃO AVANÇADA E ANÁLISE DE DADOS A PARTIR DE PLATAFORMAS ELETRÔNICAS, POR 36 (TRINTA E SEIS) MESES JU"&amp;"NTAMENTE COM AS ATUALIZAÇÕES, O SUPORTE TÉCNICO E O TREINAMENTO, CONF. CONTRATO Nº 003/2025.")</f>
        <v>FORNECIMENTO DE LICENÇA DO SOFTWARE AXIOM ADVANCED BUNDLE- DONGLE, PARA EXTRAÇÃO AVANÇADA E ANÁLISE DE DADOS A PARTIR DE PLATAFORMAS ELETRÔNICAS, POR 36 (TRINTA E SEIS) MESES JUNTAMENTE COM AS ATUALIZAÇÕES, O SUPORTE TÉCNICO E O TREINAMENTO, CONF. CONTRATO Nº 003/2025.</v>
      </c>
      <c r="F131" s="2" t="s">
        <v>228</v>
      </c>
      <c r="G131" s="5" t="str">
        <f>HYPERLINK("http://www8.mpce.mp.br/Empenhos/150501/NE/2025NE000345.pdf","2025NE000345")</f>
        <v>2025NE000345</v>
      </c>
      <c r="H131" s="6">
        <v>306713.94</v>
      </c>
      <c r="I131" s="7" t="s">
        <v>84</v>
      </c>
      <c r="J131" s="10" t="s">
        <v>329</v>
      </c>
      <c r="L131" s="13"/>
    </row>
    <row r="132" spans="1:12" x14ac:dyDescent="0.25">
      <c r="A132" s="12" t="s">
        <v>19</v>
      </c>
      <c r="B132" s="2" t="s">
        <v>330</v>
      </c>
      <c r="C132" s="3" t="str">
        <f>HYPERLINK("https://transparencia-area-fim.mpce.mp.br/#/consulta/processo/pastadigital/092023000338552","09.2023.00033855-2")</f>
        <v>09.2023.00033855-2</v>
      </c>
      <c r="D132" s="4">
        <v>45712</v>
      </c>
      <c r="E132" s="16" t="str">
        <f>HYPERLINK("https://www8.mpce.mp.br/Empenhos/150001/Objeto/17-2024.pdf","ALUGUEL PROPORCIONAL DE 25 DIAS REFERENTES AO MÊS DE MARÇO DE 2025, POR ESTIMATIVA, CONF. CONTRATO Nº 017/2024.")</f>
        <v>ALUGUEL PROPORCIONAL DE 25 DIAS REFERENTES AO MÊS DE MARÇO DE 2025, POR ESTIMATIVA, CONF. CONTRATO Nº 017/2024.</v>
      </c>
      <c r="F132" s="2" t="s">
        <v>130</v>
      </c>
      <c r="G132" s="5" t="str">
        <f>HYPERLINK("http://www8.mpce.mp.br/Empenhos/150501/NE/2025NE000349.pdf","2025NE000349")</f>
        <v>2025NE000349</v>
      </c>
      <c r="H132" s="6">
        <v>15000</v>
      </c>
      <c r="I132" s="7" t="s">
        <v>218</v>
      </c>
      <c r="J132" s="10" t="s">
        <v>219</v>
      </c>
    </row>
    <row r="133" spans="1:12" x14ac:dyDescent="0.25">
      <c r="A133" s="12" t="s">
        <v>19</v>
      </c>
      <c r="B133" s="2" t="s">
        <v>331</v>
      </c>
      <c r="C133" s="3" t="str">
        <f>HYPERLINK("https://transparencia-area-fim.mpce.mp.br/#/consulta/processo/pastadigital/092020000123310","09.2020.00012331-0")</f>
        <v>09.2020.00012331-0</v>
      </c>
      <c r="D133" s="4">
        <v>45693</v>
      </c>
      <c r="E133" s="16" t="str">
        <f>HYPERLINK("https://www8.mpce.mp.br/Empenhos/150001/Objeto/06-2021.pdf","EMPENHO REF. SERVIÇOS DE PERIÓDICOS EM NUVENS PARA A REVISTA ACADÊMICA DO MPCE, CONF. CONTRATO 006/2021, REF. JAN/2025, POR ESTIMATIVA.")</f>
        <v>EMPENHO REF. SERVIÇOS DE PERIÓDICOS EM NUVENS PARA A REVISTA ACADÊMICA DO MPCE, CONF. CONTRATO 006/2021, REF. JAN/2025, POR ESTIMATIVA.</v>
      </c>
      <c r="F133" s="2" t="s">
        <v>332</v>
      </c>
      <c r="G133" s="5" t="str">
        <f>HYPERLINK("http://www8.mpce.mp.br/Empenhos/150001/NE/2025NE000350.pdf","2025NE000350")</f>
        <v>2025NE000350</v>
      </c>
      <c r="H133" s="6">
        <v>139</v>
      </c>
      <c r="I133" s="7" t="s">
        <v>85</v>
      </c>
      <c r="J133" s="10" t="s">
        <v>333</v>
      </c>
      <c r="L133" s="13"/>
    </row>
    <row r="134" spans="1:12" x14ac:dyDescent="0.25">
      <c r="A134" s="12" t="s">
        <v>159</v>
      </c>
      <c r="B134" s="2" t="s">
        <v>334</v>
      </c>
      <c r="C134" s="3" t="str">
        <f>HYPERLINK("https://transparencia-area-fim.mpce.mp.br/#/consulta/processo/pastadigital/092023000254844","09.2023.00025484-4")</f>
        <v>09.2023.00025484-4</v>
      </c>
      <c r="D134" s="4">
        <v>45714</v>
      </c>
      <c r="E134" s="16" t="str">
        <f>HYPERLINK("https://www8.mpce.mp.br/Empenhos/150001/Objeto/03-2024.pdf","REFERENTE A PRESTAÇÃO DE SERVIÇOS DE MANUTENÇÃO PARA EQUIPAMENTOS DE COMPUTAÇÃO (HARDWARES, E SOFTWARES BÁSICOS INTEGRADOS AOS HARDWARES) INSTALADOS NO DATACENTER DA PGJ/CE, INC"&amp;"LUINDO O SERVIÇO DE MANUTENÇÃO TÉCNICO REMOTO REFERENTE AO(S) MÊS(S) DE JANEIRO, FEVEREIRO E MARÇO DE 2025, CONF. CONTRATO Nº 003/2024.")</f>
        <v>REFERENTE A PRESTAÇÃO DE SERVIÇOS DE MANUTENÇÃO PARA EQUIPAMENTOS DE COMPUTAÇÃO (HARDWARES, E SOFTWARES BÁSICOS INTEGRADOS AOS HARDWARES) INSTALADOS NO DATACENTER DA PGJ/CE, INCLUINDO O SERVIÇO DE MANUTENÇÃO TÉCNICO REMOTO REFERENTE AO(S) MÊS(S) DE JANEIRO, FEVEREIRO E MARÇO DE 2025, CONF. CONTRATO Nº 003/2024.</v>
      </c>
      <c r="F134" s="2" t="s">
        <v>233</v>
      </c>
      <c r="G134" s="5" t="str">
        <f>HYPERLINK("http://www8.mpce.mp.br/Empenhos/150501/NE/2025NE000354.pdf","2025NE000354")</f>
        <v>2025NE000354</v>
      </c>
      <c r="H134" s="6">
        <v>9024.15</v>
      </c>
      <c r="I134" s="7" t="s">
        <v>56</v>
      </c>
      <c r="J134" s="10" t="s">
        <v>335</v>
      </c>
    </row>
    <row r="135" spans="1:12" x14ac:dyDescent="0.25">
      <c r="A135" s="12" t="s">
        <v>19</v>
      </c>
      <c r="B135" s="2" t="s">
        <v>243</v>
      </c>
      <c r="C135" s="3" t="str">
        <f>HYPERLINK("https://transparencia-area-fim.mpce.mp.br/#/consulta/processo/pastadigital/092024000242263","09.2024.00024226-3")</f>
        <v>09.2024.00024226-3</v>
      </c>
      <c r="D135" s="4">
        <v>45694</v>
      </c>
      <c r="E135" s="16" t="str">
        <f>HYPERLINK("https://www8.mpce.mp.br/Empenhos/150001/Objeto/77-2024.pdf","EMPENHO REF. SERVIÇOS TÉCNICOS ESPECIALIZADOS, VISANDO A IMPLEMENTAÇÃO DA SOLUÇÃO DE TI - PLATAFORMA WHATSAPP BUSINESS, INCLUINDO A INSTALAÇÃO, ATUALIZAÇÕES E SUPORTE TÉCNICO, C"&amp;"ONF. CONTRATO 077/2024, REF. JAN, FEV E MAR/2025, POR ESTIMATIVA.")</f>
        <v>EMPENHO REF. SERVIÇOS TÉCNICOS ESPECIALIZADOS, VISANDO A IMPLEMENTAÇÃO DA SOLUÇÃO DE TI - PLATAFORMA WHATSAPP BUSINESS, INCLUINDO A INSTALAÇÃO, ATUALIZAÇÕES E SUPORTE TÉCNICO, CONF. CONTRATO 077/2024, REF. JAN, FEV E MAR/2025, POR ESTIMATIVA.</v>
      </c>
      <c r="F135" s="2" t="s">
        <v>284</v>
      </c>
      <c r="G135" s="5" t="str">
        <f>HYPERLINK("http://www8.mpce.mp.br/Empenhos/150001/NE/2025NE000362.pdf","2025NE000362")</f>
        <v>2025NE000362</v>
      </c>
      <c r="H135" s="6">
        <v>2721.54</v>
      </c>
      <c r="I135" s="7" t="s">
        <v>336</v>
      </c>
      <c r="J135" s="10" t="s">
        <v>337</v>
      </c>
      <c r="L135" s="13"/>
    </row>
    <row r="136" spans="1:12" x14ac:dyDescent="0.25">
      <c r="A136" s="12" t="s">
        <v>19</v>
      </c>
      <c r="B136" s="2" t="s">
        <v>302</v>
      </c>
      <c r="C136" s="3" t="str">
        <f>HYPERLINK("https://transparencia-area-fim.mpce.mp.br/#/consulta/processo/pastadigital/092021000349974","09.2021.00034997-4")</f>
        <v>09.2021.00034997-4</v>
      </c>
      <c r="D136" s="4">
        <v>45723</v>
      </c>
      <c r="E136" s="16" t="str">
        <f>HYPERLINK("https://www8.mpce.mp.br/Empenhos/150001/Objeto/01-2022.pdf","DISPONIBILIZAÇÃO DE SOLUÇÃO TECNOLÓGICA PARA ATENDIMENTO, GERENCIAMENTO DO RELACIONAMENTO COM O CIDADÃO E DIGITALIZAÇÃO DE SERVIÇOS PÚBLICOS, NO MODELO DE SOFTWARE COMO SERVIÇOS"&amp;" (SAAS), BEM COMO A ADEQUAÇÃO E AUTOMAÇÃO DOS SERVIÇOS PROPRIAMENTE DITOS, COM O USO DA SOLUÇÃO TECNOLÓGICA DISPONIBILIZADA INCLUINDO SUPORTE TÉCNICO, CONF. CONTRATO 001/2022, REF. AO MÊS DE FEVEREIRO DE 2025.")</f>
        <v>DISPONIBILIZAÇÃO DE SOLUÇÃO TECNOLÓGICA PARA ATENDIMENTO, GERENCIAMENTO DO RELACIONAMENTO COM O CIDADÃO E DIGITALIZAÇÃO DE SERVIÇOS PÚBLICOS, NO MODELO DE SOFTWARE COMO SERVIÇOS (SAAS), BEM COMO A ADEQUAÇÃO E AUTOMAÇÃO DOS SERVIÇOS PROPRIAMENTE DITOS, COM O USO DA SOLUÇÃO TECNOLÓGICA DISPONIBILIZADA INCLUINDO SUPORTE TÉCNICO, CONF. CONTRATO 001/2022, REF. AO MÊS DE FEVEREIRO DE 2025.</v>
      </c>
      <c r="F136" s="2" t="s">
        <v>231</v>
      </c>
      <c r="G136" s="5" t="str">
        <f>HYPERLINK("https://siafe.sefaz.ce.gov.br/Siafe/downloadSignature?token=963604731e2c44fcb04e00e25dcff25d","2025NE000377")</f>
        <v>2025NE000377</v>
      </c>
      <c r="H136" s="6">
        <v>36672</v>
      </c>
      <c r="I136" s="7" t="s">
        <v>51</v>
      </c>
      <c r="J136" s="10" t="s">
        <v>212</v>
      </c>
      <c r="L136" s="13"/>
    </row>
    <row r="137" spans="1:12" x14ac:dyDescent="0.25">
      <c r="A137" s="12" t="s">
        <v>19</v>
      </c>
      <c r="B137" s="2" t="s">
        <v>338</v>
      </c>
      <c r="C137" s="3" t="str">
        <f>HYPERLINK("https://transparencia-area-fim.mpce.mp.br/#/consulta/processo/pastadigital/092023000287468","09.2023.00028746-8")</f>
        <v>09.2023.00028746-8</v>
      </c>
      <c r="D137" s="4">
        <v>45723</v>
      </c>
      <c r="E137" s="16" t="str">
        <f>HYPERLINK("https://www8.mpce.mp.br/Empenhos/150001/Objeto/58-2023.pdf","PRESTAÇÃO DE SERVIÇOS TÉCNICOS ESPECIALIZADOS SOB DEMANDA PARA ADEQUAÇÃO E AUTOMAÇÃO DE SERVIÇOS PÚBLICOS COM O USO DA SOLUÇÃO TECNOLÓGICA DA EMPRESA DE TECNOLOGIA DA INFORMAÇÃO"&amp;" DO CEARÁ - ETICE REFERENTE AO(S) ANO(S) DE 2025, CONF. CONTRATO Nº 058/2023.")</f>
        <v>PRESTAÇÃO DE SERVIÇOS TÉCNICOS ESPECIALIZADOS SOB DEMANDA PARA ADEQUAÇÃO E AUTOMAÇÃO DE SERVIÇOS PÚBLICOS COM O USO DA SOLUÇÃO TECNOLÓGICA DA EMPRESA DE TECNOLOGIA DA INFORMAÇÃO DO CEARÁ - ETICE REFERENTE AO(S) ANO(S) DE 2025, CONF. CONTRATO Nº 058/2023.</v>
      </c>
      <c r="F137" s="2" t="s">
        <v>231</v>
      </c>
      <c r="G137" s="5" t="str">
        <f>HYPERLINK("https://siafe.sefaz.ce.gov.br/Siafe/downloadSignature?token=c9205c68cdd24620b16bb560c09fe243","2025NE000378")</f>
        <v>2025NE000378</v>
      </c>
      <c r="H137" s="6">
        <v>207130</v>
      </c>
      <c r="I137" s="7" t="s">
        <v>51</v>
      </c>
      <c r="J137" s="10" t="s">
        <v>212</v>
      </c>
      <c r="L137" s="13"/>
    </row>
    <row r="138" spans="1:12" x14ac:dyDescent="0.25">
      <c r="A138" s="12" t="s">
        <v>159</v>
      </c>
      <c r="B138" s="2" t="s">
        <v>339</v>
      </c>
      <c r="C138" s="3" t="str">
        <f>HYPERLINK("https://transparencia-area-fim.mpce.mp.br/#/consulta/processo/pastadigital/092023000385590","09.2023.00038559-0")</f>
        <v>09.2023.00038559-0</v>
      </c>
      <c r="D138" s="4">
        <v>45723</v>
      </c>
      <c r="E138" s="16" t="str">
        <f>HYPERLINK("https://www8.mpce.mp.br/Empenhos/150001/Objeto/25-2024.pdf","LICENÇAS DE ACESSO ÀS PLATAFORMAS DE SAÚDE FÍSICA (WELLHUB) E MENTAL (WELLZ), PARA MEMBROS E SERVIDORES DO MP DO CEARÁ, CONF. CONTRATO Nº 025/2024, REF. AO MÊS DE FEVEREIRO DE2025.")</f>
        <v>LICENÇAS DE ACESSO ÀS PLATAFORMAS DE SAÚDE FÍSICA (WELLHUB) E MENTAL (WELLZ), PARA MEMBROS E SERVIDORES DO MP DO CEARÁ, CONF. CONTRATO Nº 025/2024, REF. AO MÊS DE FEVEREIRO DE2025.</v>
      </c>
      <c r="F138" s="2" t="s">
        <v>228</v>
      </c>
      <c r="G138" s="5" t="str">
        <f>HYPERLINK("https://siafe.sefaz.ce.gov.br/Siafe/downloadSignature?token=aee5c2e52ba54c5785e4c3f5ca65af76","2025NE000382")</f>
        <v>2025NE000382</v>
      </c>
      <c r="H138" s="6">
        <v>51500</v>
      </c>
      <c r="I138" s="7" t="s">
        <v>57</v>
      </c>
      <c r="J138" s="10" t="s">
        <v>242</v>
      </c>
      <c r="L138" s="13"/>
    </row>
    <row r="139" spans="1:12" x14ac:dyDescent="0.25">
      <c r="A139" s="12" t="s">
        <v>19</v>
      </c>
      <c r="B139" s="2" t="s">
        <v>302</v>
      </c>
      <c r="C139" s="3" t="str">
        <f>HYPERLINK("https://transparencia-area-fim.mpce.mp.br/#/consulta/processo/pastadigital/092021000349974","09.2021.00034997-4")</f>
        <v>09.2021.00034997-4</v>
      </c>
      <c r="D139" s="4">
        <v>45723</v>
      </c>
      <c r="E139" s="16" t="str">
        <f>HYPERLINK("https://www8.mpce.mp.br/Empenhos/150001/Objeto/01-2022.pdf","EMPENHO REF. SUPORTE TÉCNICO PARA DESENVOLVIMENTO E IMPLEMENTAÇÃO DE CAMADA DE INTEROPERABILIDADE, INCLUINDO SERVIÇOS DE INTEGRAÇÃO DE SISTEMAS, CONF. CONTRATO 001/2022, REF. MA"&amp;"RÇO/2025, POR ESTIMATIVA.")</f>
        <v>EMPENHO REF. SUPORTE TÉCNICO PARA DESENVOLVIMENTO E IMPLEMENTAÇÃO DE CAMADA DE INTEROPERABILIDADE, INCLUINDO SERVIÇOS DE INTEGRAÇÃO DE SISTEMAS, CONF. CONTRATO 001/2022, REF. MARÇO/2025, POR ESTIMATIVA.</v>
      </c>
      <c r="F139" s="2" t="s">
        <v>231</v>
      </c>
      <c r="G139" s="5" t="str">
        <f>HYPERLINK("https://siafe.sefaz.ce.gov.br/Siafe/downloadSignature?token=1ae977c2f1d34ff5af7391bdc4515e8b","2025NE000383")</f>
        <v>2025NE000383</v>
      </c>
      <c r="H139" s="6">
        <v>36672</v>
      </c>
      <c r="I139" s="7" t="s">
        <v>51</v>
      </c>
      <c r="J139" s="10" t="s">
        <v>212</v>
      </c>
      <c r="L139" s="13"/>
    </row>
    <row r="140" spans="1:12" x14ac:dyDescent="0.25">
      <c r="A140" s="12" t="s">
        <v>19</v>
      </c>
      <c r="B140" s="2" t="s">
        <v>340</v>
      </c>
      <c r="C140" s="3" t="str">
        <f>HYPERLINK("https://transparencia-area-fim.mpce.mp.br/#/consulta/processo/pastadigital/092025000062258","09.2025.00006225-8")</f>
        <v>09.2025.00006225-8</v>
      </c>
      <c r="D140" s="4">
        <v>45726</v>
      </c>
      <c r="E140" s="16" t="s">
        <v>341</v>
      </c>
      <c r="F140" s="2" t="s">
        <v>342</v>
      </c>
      <c r="G140" s="5" t="str">
        <f>HYPERLINK("https://siafe.sefaz.ce.gov.br/Siafe/downloadSignature?token=2525c76cbab34e40bb79d84afe9d0cb0","2025NE000402")</f>
        <v>2025NE000402</v>
      </c>
      <c r="H140" s="6">
        <v>35248.5</v>
      </c>
      <c r="I140" s="7" t="s">
        <v>343</v>
      </c>
      <c r="J140" s="10" t="s">
        <v>344</v>
      </c>
      <c r="L140" s="13"/>
    </row>
    <row r="141" spans="1:12" x14ac:dyDescent="0.25">
      <c r="A141" s="12" t="s">
        <v>19</v>
      </c>
      <c r="B141" s="2" t="s">
        <v>187</v>
      </c>
      <c r="C141" s="3" t="str">
        <f>HYPERLINK("https://transparencia-area-fim.mpce.mp.br/#/consulta/processo/pastadigital/092022000264193","09.2022.00026419-3")</f>
        <v>09.2022.00026419-3</v>
      </c>
      <c r="D141" s="4">
        <v>45726</v>
      </c>
      <c r="E141" s="16" t="str">
        <f>HYPERLINK("https://www8.mpce.mp.br/Empenhos/150001/Objeto/28-2022.pdf","EMPENHO REF. ALUGUEL DE IMÓVEL ONDE FUNCIONA SEDE DE PROMOTORIAS DE JUSTIÇA DA COMARCA DE AURORA, CONF. CONTRATO 028/2022, REF. MAR/2025, POR ESTIMATIVA.")</f>
        <v>EMPENHO REF. ALUGUEL DE IMÓVEL ONDE FUNCIONA SEDE DE PROMOTORIAS DE JUSTIÇA DA COMARCA DE AURORA, CONF. CONTRATO 028/2022, REF. MAR/2025, POR ESTIMATIVA.</v>
      </c>
      <c r="F141" s="2" t="s">
        <v>31</v>
      </c>
      <c r="G141" s="5" t="str">
        <f>HYPERLINK("https://siafe.sefaz.ce.gov.br/Siafe/downloadSignature?token=c96e720df662450b8d97461be4254bac","2025NE000408")</f>
        <v>2025NE000408</v>
      </c>
      <c r="H141" s="6">
        <v>2000</v>
      </c>
      <c r="I141" s="7" t="s">
        <v>34</v>
      </c>
      <c r="J141" s="10" t="s">
        <v>167</v>
      </c>
      <c r="L141" s="13"/>
    </row>
    <row r="142" spans="1:12" x14ac:dyDescent="0.25">
      <c r="A142" s="12" t="s">
        <v>19</v>
      </c>
      <c r="B142" s="2" t="s">
        <v>187</v>
      </c>
      <c r="C142" s="3" t="str">
        <f>HYPERLINK("http://www8.mpce.mp.br/Dispensa/575920103.pdf","5759/2010-3")</f>
        <v>5759/2010-3</v>
      </c>
      <c r="D142" s="4">
        <v>45726</v>
      </c>
      <c r="E142" s="16" t="str">
        <f>HYPERLINK("https://www8.mpce.mp.br/Empenhos/150001/Objeto/22-2010.pdf","EMPENHO REF. ALUGUEL DE IMÓVEL ONDE FUNCIONA SEDE DE PROMOTORIAS DE JUSTIÇA DA COMARCA DE GUAIÚBA, CONF. CONTRATO 022/2010, REF. MAR/2025, POR ESTIMATIVA.")</f>
        <v>EMPENHO REF. ALUGUEL DE IMÓVEL ONDE FUNCIONA SEDE DE PROMOTORIAS DE JUSTIÇA DA COMARCA DE GUAIÚBA, CONF. CONTRATO 022/2010, REF. MAR/2025, POR ESTIMATIVA.</v>
      </c>
      <c r="F142" s="2" t="s">
        <v>31</v>
      </c>
      <c r="G142" s="5" t="str">
        <f>HYPERLINK("https://siafe.sefaz.ce.gov.br/Siafe/downloadSignature?token=8c390798c55f4e529bd332596db489f1","2025NE000412")</f>
        <v>2025NE000412</v>
      </c>
      <c r="H142" s="6">
        <v>2341.9699999999998</v>
      </c>
      <c r="I142" s="7" t="s">
        <v>86</v>
      </c>
      <c r="J142" s="10" t="s">
        <v>87</v>
      </c>
      <c r="L142" s="13"/>
    </row>
    <row r="143" spans="1:12" x14ac:dyDescent="0.25">
      <c r="A143" s="12" t="s">
        <v>19</v>
      </c>
      <c r="B143" s="2" t="s">
        <v>187</v>
      </c>
      <c r="C143" s="3" t="str">
        <f>HYPERLINK("https://transparencia-area-fim.mpce.mp.br/#/consulta/processo/pastadigital/092022000343818","09.2022.00034381-8")</f>
        <v>09.2022.00034381-8</v>
      </c>
      <c r="D143" s="4">
        <v>45726</v>
      </c>
      <c r="E143" s="16" t="str">
        <f>HYPERLINK("https://www8.mpce.mp.br/Empenhos/150001/Objeto/24-2023.pdf","EMPENHO REF. ALUGUEL DE IMÓVEL ONDE FUNCIONA SEDE DE PROMOTORIAS DE JUSTIÇA DA COMARCA DE ITAPIPOCA, CONF. CONTRATO 024/2023, REF. MAR/2025, POR ESTIMATIVA.")</f>
        <v>EMPENHO REF. ALUGUEL DE IMÓVEL ONDE FUNCIONA SEDE DE PROMOTORIAS DE JUSTIÇA DA COMARCA DE ITAPIPOCA, CONF. CONTRATO 024/2023, REF. MAR/2025, POR ESTIMATIVA.</v>
      </c>
      <c r="F143" s="2" t="s">
        <v>130</v>
      </c>
      <c r="G143" s="5" t="str">
        <f>HYPERLINK("https://siafe.sefaz.ce.gov.br/Siafe/downloadSignature?token=0dac196d28ba45cd8c8bbd7cbeffb5ad","2025NE000424")</f>
        <v>2025NE000424</v>
      </c>
      <c r="H143" s="6">
        <v>18877.14</v>
      </c>
      <c r="I143" s="7" t="s">
        <v>79</v>
      </c>
      <c r="J143" s="10" t="s">
        <v>133</v>
      </c>
      <c r="L143" s="13"/>
    </row>
    <row r="144" spans="1:12" x14ac:dyDescent="0.25">
      <c r="A144" s="12" t="s">
        <v>19</v>
      </c>
      <c r="B144" s="2" t="s">
        <v>345</v>
      </c>
      <c r="C144" s="3" t="str">
        <f>HYPERLINK("http://www8.mpce.mp.br/Dispensa/146020136.pdf","1460/2013-6")</f>
        <v>1460/2013-6</v>
      </c>
      <c r="D144" s="4">
        <v>45727</v>
      </c>
      <c r="E144" s="16" t="str">
        <f>HYPERLINK("https://www8.mpce.mp.br/Empenhos/150001/Objeto/39-2013.pdf","EMPENHO DOALUGEU DOS MÊS DE MARÇO DE 2025, REF. AO IMÓVEL ONDE FUNCIONAM AS PROMOTORIAS DE JUSTIÇA DA COMARCA DE CASCAVEL, CONF. CONTRATO Nº 039/2013.")</f>
        <v>EMPENHO DOALUGEU DOS MÊS DE MARÇO DE 2025, REF. AO IMÓVEL ONDE FUNCIONAM AS PROMOTORIAS DE JUSTIÇA DA COMARCA DE CASCAVEL, CONF. CONTRATO Nº 039/2013.</v>
      </c>
      <c r="F144" s="2" t="s">
        <v>31</v>
      </c>
      <c r="G144" s="5" t="str">
        <f>HYPERLINK("https://siafe.sefaz.ce.gov.br/Siafe/downloadSignature?token=e663034c2fd24835917fd8308704e891","2025NE000439")</f>
        <v>2025NE000439</v>
      </c>
      <c r="H144" s="6">
        <v>4341.5600000000004</v>
      </c>
      <c r="I144" s="7" t="s">
        <v>88</v>
      </c>
      <c r="J144" s="10" t="s">
        <v>89</v>
      </c>
      <c r="L144" s="13"/>
    </row>
    <row r="145" spans="1:12" x14ac:dyDescent="0.25">
      <c r="A145" s="12" t="s">
        <v>19</v>
      </c>
      <c r="B145" s="2" t="s">
        <v>187</v>
      </c>
      <c r="C145" s="3" t="str">
        <f>HYPERLINK("http://www8.mpce.mp.br/Dispensa/4793720162.pdf","4793720162")</f>
        <v>4793720162</v>
      </c>
      <c r="D145" s="4">
        <v>45727</v>
      </c>
      <c r="E145" s="16" t="str">
        <f>HYPERLINK("https://www8.mpce.mp.br/Empenhos/150001/Objeto/14-2017.pdf","EMPENHO REF. ALUGUEL DE IMÓVEL ONDE FUNCIONA GALPÃO DO ALMOXARIFADO E PATRIMÔNIO DA PGJ, CONF. CONTRATO 014/2017, REF. MARÇO/2025.")</f>
        <v>EMPENHO REF. ALUGUEL DE IMÓVEL ONDE FUNCIONA GALPÃO DO ALMOXARIFADO E PATRIMÔNIO DA PGJ, CONF. CONTRATO 014/2017, REF. MARÇO/2025.</v>
      </c>
      <c r="F145" s="2" t="s">
        <v>130</v>
      </c>
      <c r="G145" s="5" t="str">
        <f>HYPERLINK("https://siafe.sefaz.ce.gov.br/Siafe/downloadSignature?token=7343b29d92ae4bc3821821d4c65083ac","2025NE000442")</f>
        <v>2025NE000442</v>
      </c>
      <c r="H145" s="6">
        <v>22143.48</v>
      </c>
      <c r="I145" s="7" t="s">
        <v>30</v>
      </c>
      <c r="J145" s="10" t="s">
        <v>161</v>
      </c>
      <c r="L145" s="13"/>
    </row>
    <row r="146" spans="1:12" x14ac:dyDescent="0.25">
      <c r="A146" s="12" t="s">
        <v>19</v>
      </c>
      <c r="B146" s="2" t="s">
        <v>346</v>
      </c>
      <c r="C146" s="3" t="str">
        <f>HYPERLINK("https://transparencia-area-fim.mpce.mp.br/#/consulta/processo/pastadigital/092024000241342","09.2024.00024134-2")</f>
        <v>09.2024.00024134-2</v>
      </c>
      <c r="D146" s="4">
        <v>45702</v>
      </c>
      <c r="E146" s="16" t="str">
        <f>HYPERLINK("https://www8.mpce.mp.br/Empenhos/150001/Objeto/03-2024.pdf","CONCURSO PÚBLICO PARA PROVIMENTO E FORMAÇÃO DE CADASTRO DE RESERVA DOS CARGOS DE ANALISTA MINISTERIAL E TÉCNICO MINISTERIAL DO QUADRO DE PESSOAL DO MINISTÉRIO PÚBLICO DO ESTADO "&amp;"DO CEARÁ, CONF. CONTRATO Nº 103/2024")</f>
        <v>CONCURSO PÚBLICO PARA PROVIMENTO E FORMAÇÃO DE CADASTRO DE RESERVA DOS CARGOS DE ANALISTA MINISTERIAL E TÉCNICO MINISTERIAL DO QUADRO DE PESSOAL DO MINISTÉRIO PÚBLICO DO ESTADO DO CEARÁ, CONF. CONTRATO Nº 103/2024</v>
      </c>
      <c r="F146" s="2" t="s">
        <v>214</v>
      </c>
      <c r="G146" s="5" t="str">
        <f>HYPERLINK("http://www8.mpce.mp.br/Empenhos/150001/NE/2025NE000448.pdf","2025NE000448")</f>
        <v>2025NE000448</v>
      </c>
      <c r="H146" s="6">
        <v>1371565.11</v>
      </c>
      <c r="I146" s="7" t="s">
        <v>347</v>
      </c>
      <c r="J146" s="10" t="s">
        <v>348</v>
      </c>
      <c r="L146" s="13"/>
    </row>
    <row r="147" spans="1:12" x14ac:dyDescent="0.25">
      <c r="A147" s="12" t="s">
        <v>159</v>
      </c>
      <c r="B147" s="2" t="s">
        <v>278</v>
      </c>
      <c r="C147" s="3" t="str">
        <f>HYPERLINK("https://transparencia-area-fim.mpce.mp.br/#/consulta/processo/pastadigital/092023000255300","09.2023.00025530-0")</f>
        <v>09.2023.00025530-0</v>
      </c>
      <c r="D147" s="4">
        <v>45727</v>
      </c>
      <c r="E147" s="16" t="str">
        <f>HYPERLINK("https://www8.mpce.mp.br/Empenhos/150001/Objeto/42-2024.pdf","EMPENHO REF. SERVIÇO DO SISTEMA SAJ-MP - ACOMPANHAMENTO DA OPERAÇÃO, CONF. CONTRATO 042/2024, REF. FEV E MAR/2025, POR ESTIMATIVA.")</f>
        <v>EMPENHO REF. SERVIÇO DO SISTEMA SAJ-MP - ACOMPANHAMENTO DA OPERAÇÃO, CONF. CONTRATO 042/2024, REF. FEV E MAR/2025, POR ESTIMATIVA.</v>
      </c>
      <c r="F147" s="2" t="s">
        <v>279</v>
      </c>
      <c r="G147" s="5" t="str">
        <f>HYPERLINK("https://siafe.sefaz.ce.gov.br/Siafe/downloadSignature?token=83ff707274b74fc38f785bd03369aa63","2025NE000452")</f>
        <v>2025NE000452</v>
      </c>
      <c r="H147" s="6">
        <v>54183.93</v>
      </c>
      <c r="I147" s="7" t="s">
        <v>73</v>
      </c>
      <c r="J147" s="10" t="s">
        <v>280</v>
      </c>
      <c r="L147" s="13"/>
    </row>
    <row r="148" spans="1:12" x14ac:dyDescent="0.25">
      <c r="A148" s="12" t="s">
        <v>19</v>
      </c>
      <c r="B148" s="2" t="s">
        <v>187</v>
      </c>
      <c r="C148" s="3" t="str">
        <f>HYPERLINK("https://transparencia-area-fim.mpce.mp.br/#/consulta/processo/pastadigital/092023000338541","09.2023.00033854-1")</f>
        <v>09.2023.00033854-1</v>
      </c>
      <c r="D148" s="4">
        <v>45728</v>
      </c>
      <c r="E148" s="16" t="str">
        <f>HYPERLINK("https://www8.mpce.mp.br/Empenhos/150001/Objeto/36-2024.pdf","EMPENHO REF. ALUGUEL DE IMÓVEL ONDE FUNCIONA DE SEDE DE PROMOTORIAS DE JUSTIÇA DA COMARCA DE MORADA NOVA, CONF. CONTRATO 036/2024, REF. MAR/2025, POR ESTIMATIVA.")</f>
        <v>EMPENHO REF. ALUGUEL DE IMÓVEL ONDE FUNCIONA DE SEDE DE PROMOTORIAS DE JUSTIÇA DA COMARCA DE MORADA NOVA, CONF. CONTRATO 036/2024, REF. MAR/2025, POR ESTIMATIVA.</v>
      </c>
      <c r="F148" s="2" t="s">
        <v>130</v>
      </c>
      <c r="G148" s="5" t="str">
        <f>HYPERLINK("https://siafe.sefaz.ce.gov.br/Siafe/downloadSignature?token=d719a504de36401395e8fb13a220ef31","2025NE000453")</f>
        <v>2025NE000453</v>
      </c>
      <c r="H148" s="6">
        <v>17424</v>
      </c>
      <c r="I148" s="7" t="s">
        <v>27</v>
      </c>
      <c r="J148" s="10" t="s">
        <v>154</v>
      </c>
      <c r="L148" s="13"/>
    </row>
    <row r="149" spans="1:12" x14ac:dyDescent="0.25">
      <c r="A149" s="12" t="s">
        <v>19</v>
      </c>
      <c r="B149" s="2" t="s">
        <v>187</v>
      </c>
      <c r="C149" s="3" t="str">
        <f>HYPERLINK("https://transparencia-area-fim.mpce.mp.br/#/consulta/processo/pastadigital/092023000338563","09.2023.00033856-3")</f>
        <v>09.2023.00033856-3</v>
      </c>
      <c r="D149" s="4">
        <v>45728</v>
      </c>
      <c r="E149" s="16" t="str">
        <f>HYPERLINK("https://www8.mpce.mp.br/Empenhos/150001/Objeto/01-2024.pdf","EMPENHO REF. ALUGUEL DE IMÓVEL ONDE FUNCIONA SEDE DE PROMOTORIAS DE JUSTIÇA DA COMARCA DE AQUIRAZ, CONF. CONTRATO 001/2024, REF. MAR/2025, POR ESTIMATIVA.")</f>
        <v>EMPENHO REF. ALUGUEL DE IMÓVEL ONDE FUNCIONA SEDE DE PROMOTORIAS DE JUSTIÇA DA COMARCA DE AQUIRAZ, CONF. CONTRATO 001/2024, REF. MAR/2025, POR ESTIMATIVA.</v>
      </c>
      <c r="F149" s="2" t="s">
        <v>130</v>
      </c>
      <c r="G149" s="5" t="str">
        <f>HYPERLINK("https://siafe.sefaz.ce.gov.br/Siafe/downloadSignature?token=03c9910cbb6d4f25aae355ade191e068","2025NE000454")</f>
        <v>2025NE000454</v>
      </c>
      <c r="H149" s="6">
        <v>16440</v>
      </c>
      <c r="I149" s="7" t="s">
        <v>27</v>
      </c>
      <c r="J149" s="10" t="s">
        <v>154</v>
      </c>
      <c r="L149" s="13"/>
    </row>
    <row r="150" spans="1:12" x14ac:dyDescent="0.25">
      <c r="A150" s="12" t="s">
        <v>19</v>
      </c>
      <c r="B150" s="2" t="s">
        <v>349</v>
      </c>
      <c r="C150" s="3" t="str">
        <f>HYPERLINK("http://www8.mpce.mp.br/Dispensa/1320920133.pdf","13209/2013-3")</f>
        <v>13209/2013-3</v>
      </c>
      <c r="D150" s="4">
        <v>45728</v>
      </c>
      <c r="E150" s="16" t="str">
        <f>HYPERLINK("https://www8.mpce.mp.br/Empenhos/150001/Objeto/43-2013.pdf","EMPENHO DO ALUGUEL DO MÊS DE MARÇO DE 2025, REF. AO IMÓVEL ONDE FUNCIONAM AS PROMOTORIAS DE JUSTIÇA DA COMARCA DE MORADA NOVA, CONF. CONTRATO Nº 043/2013.")</f>
        <v>EMPENHO DO ALUGUEL DO MÊS DE MARÇO DE 2025, REF. AO IMÓVEL ONDE FUNCIONAM AS PROMOTORIAS DE JUSTIÇA DA COMARCA DE MORADA NOVA, CONF. CONTRATO Nº 043/2013.</v>
      </c>
      <c r="F150" s="2" t="s">
        <v>31</v>
      </c>
      <c r="G150" s="5" t="str">
        <f>HYPERLINK("https://siafe.sefaz.ce.gov.br/Siafe/downloadSignature?token=4ef43ce08b48415a8dcb2111752a8b47","2025NE000455")</f>
        <v>2025NE000455</v>
      </c>
      <c r="H150" s="6">
        <v>8665.7900000000009</v>
      </c>
      <c r="I150" s="7" t="s">
        <v>62</v>
      </c>
      <c r="J150" s="10" t="s">
        <v>63</v>
      </c>
      <c r="L150" s="13"/>
    </row>
    <row r="151" spans="1:12" x14ac:dyDescent="0.25">
      <c r="A151" s="12" t="s">
        <v>19</v>
      </c>
      <c r="B151" s="2" t="s">
        <v>243</v>
      </c>
      <c r="C151" s="3" t="str">
        <f>HYPERLINK("https://transparencia-area-fim.mpce.mp.br/#/consulta/processo/pastadigital/092023000388810","09.2023.00038881-0")</f>
        <v>09.2023.00038881-0</v>
      </c>
      <c r="D151" s="4">
        <v>45728</v>
      </c>
      <c r="E151" s="16" t="str">
        <f>HYPERLINK("https://www8.mpce.mp.br/Empenhos/150001/Objeto/22-2024.pdf","EMPENHO REF. SERVIÇOS DE SOLUÇÃO EM NUVEM DE PROTEÇÃO, GESTÃO, AVALIAÇÃO DE POSTURA E CONECTIVIDADE PARA NUVEM, INCLUINDO IMPLANTAÇÃO, MONITORAMENTO E SUPORTE TÉCNICO, CONF. CON"&amp;"TRATO 022/2024, REF. FEV E MAR/2025, POR ESTIMATIVA.")</f>
        <v>EMPENHO REF. SERVIÇOS DE SOLUÇÃO EM NUVEM DE PROTEÇÃO, GESTÃO, AVALIAÇÃO DE POSTURA E CONECTIVIDADE PARA NUVEM, INCLUINDO IMPLANTAÇÃO, MONITORAMENTO E SUPORTE TÉCNICO, CONF. CONTRATO 022/2024, REF. FEV E MAR/2025, POR ESTIMATIVA.</v>
      </c>
      <c r="F151" s="2" t="s">
        <v>211</v>
      </c>
      <c r="G151" s="5" t="str">
        <f>HYPERLINK("https://siafe.sefaz.ce.gov.br/Siafe/downloadSignature?token=e9e8fe8477494320877928d78b8fcedf","2025NE000459")</f>
        <v>2025NE000459</v>
      </c>
      <c r="H151" s="6">
        <v>71437.03</v>
      </c>
      <c r="I151" s="7" t="s">
        <v>51</v>
      </c>
      <c r="J151" s="10" t="s">
        <v>212</v>
      </c>
      <c r="L151" s="13"/>
    </row>
    <row r="152" spans="1:12" x14ac:dyDescent="0.25">
      <c r="A152" s="12" t="s">
        <v>159</v>
      </c>
      <c r="B152" s="2" t="s">
        <v>278</v>
      </c>
      <c r="C152" s="3" t="str">
        <f>HYPERLINK("https://transparencia-area-fim.mpce.mp.br/#/consulta/processo/pastadigital/092023000255300","09.2023.00025530-0")</f>
        <v>09.2023.00025530-0</v>
      </c>
      <c r="D152" s="4">
        <v>45728</v>
      </c>
      <c r="E152" s="16" t="str">
        <f>HYPERLINK("https://www8.mpce.mp.br/Empenhos/150001/Objeto/42-2024.pdf","EMPENHO REF. SERVIÇO DO SISTEMA SAJ-MP - HOSPEDAGEM EM NUVEM, CONF. CONTRATO 042/2024, REF. FEV E MAR/2025, POR ESTIMATIVA.")</f>
        <v>EMPENHO REF. SERVIÇO DO SISTEMA SAJ-MP - HOSPEDAGEM EM NUVEM, CONF. CONTRATO 042/2024, REF. FEV E MAR/2025, POR ESTIMATIVA.</v>
      </c>
      <c r="F152" s="2" t="s">
        <v>283</v>
      </c>
      <c r="G152" s="5" t="str">
        <f>HYPERLINK("https://siafe.sefaz.ce.gov.br/Siafe/downloadSignature?token=93c78d4a109a486c89030c1abc016215","2025NE000471")</f>
        <v>2025NE000471</v>
      </c>
      <c r="H152" s="6">
        <v>209000</v>
      </c>
      <c r="I152" s="7" t="s">
        <v>73</v>
      </c>
      <c r="J152" s="10" t="s">
        <v>280</v>
      </c>
      <c r="L152" s="13"/>
    </row>
    <row r="153" spans="1:12" x14ac:dyDescent="0.25">
      <c r="A153" s="12" t="s">
        <v>19</v>
      </c>
      <c r="B153" s="2" t="s">
        <v>187</v>
      </c>
      <c r="C153" s="3" t="str">
        <f>HYPERLINK("https://transparencia-area-fim.mpce.mp.br/#/consulta/processo/pastadigital/092021000063220","09.2021.00006322-0")</f>
        <v>09.2021.00006322-0</v>
      </c>
      <c r="D153" s="4">
        <v>45728</v>
      </c>
      <c r="E153" s="16" t="str">
        <f>HYPERLINK("https://www8.mpce.mp.br/Empenhos/150001/Objeto/33-2021.pdf","EMPENHO REF. ALUGUEL DE IMÓVEL ONDE FUNCIONA SEDE DE PROMOTORIAS DE JUSTIÇA DA COMARCA DE SOBRAL, CONF. CONTRATO 033/2021, REF. MAR/2025, POR ESTIMATIVA.")</f>
        <v>EMPENHO REF. ALUGUEL DE IMÓVEL ONDE FUNCIONA SEDE DE PROMOTORIAS DE JUSTIÇA DA COMARCA DE SOBRAL, CONF. CONTRATO 033/2021, REF. MAR/2025, POR ESTIMATIVA.</v>
      </c>
      <c r="F153" s="2" t="s">
        <v>130</v>
      </c>
      <c r="G153" s="5" t="str">
        <f>HYPERLINK("https://siafe.sefaz.ce.gov.br/Siafe/downloadSignature?token=c40800157fa44c6aae027cfa9d861832","2025NE000482")</f>
        <v>2025NE000482</v>
      </c>
      <c r="H153" s="6">
        <v>33400.11</v>
      </c>
      <c r="I153" s="7" t="s">
        <v>21</v>
      </c>
      <c r="J153" s="10" t="s">
        <v>140</v>
      </c>
      <c r="L153" s="13"/>
    </row>
    <row r="154" spans="1:12" x14ac:dyDescent="0.25">
      <c r="A154" s="12" t="s">
        <v>19</v>
      </c>
      <c r="B154" s="2" t="s">
        <v>187</v>
      </c>
      <c r="C154" s="3" t="str">
        <f>HYPERLINK("http://www8.mpce.mp.br/Dispensa/1984020196.pdf","19840/2019-6")</f>
        <v>19840/2019-6</v>
      </c>
      <c r="D154" s="4">
        <v>45728</v>
      </c>
      <c r="E154" s="16" t="str">
        <f>HYPERLINK("https://www8.mpce.mp.br/Empenhos/150001/Objeto/48-2019.pdf","EMPENHO REF. ALUGUEL DO IMÓVEL ONDE FUNCIONA SEDE DE  PROMOTORIAS DE JUSTIÇA DA COMARCA DE CAUCAIA, CONF. CONTRATO 048/2019, REF. MAR/2025, POR ESTIMATIVA.")</f>
        <v>EMPENHO REF. ALUGUEL DO IMÓVEL ONDE FUNCIONA SEDE DE  PROMOTORIAS DE JUSTIÇA DA COMARCA DE CAUCAIA, CONF. CONTRATO 048/2019, REF. MAR/2025, POR ESTIMATIVA.</v>
      </c>
      <c r="F154" s="2" t="s">
        <v>130</v>
      </c>
      <c r="G154" s="5" t="str">
        <f>HYPERLINK("https://siafe.sefaz.ce.gov.br/Siafe/downloadSignature?token=99d18de61fc748b5bcfc0d01369069b0","2025NE000485")</f>
        <v>2025NE000485</v>
      </c>
      <c r="H154" s="6">
        <v>47253.13</v>
      </c>
      <c r="I154" s="7" t="s">
        <v>27</v>
      </c>
      <c r="J154" s="10" t="s">
        <v>154</v>
      </c>
      <c r="L154" s="13"/>
    </row>
    <row r="155" spans="1:12" x14ac:dyDescent="0.25">
      <c r="A155" s="12" t="s">
        <v>19</v>
      </c>
      <c r="B155" s="2" t="s">
        <v>250</v>
      </c>
      <c r="C155" s="3" t="str">
        <f>HYPERLINK("https://transparencia-area-fim.mpce.mp.br/#/consulta/processo/pastadigital/092024000159002","09.2024.00015900-2")</f>
        <v>09.2024.00015900-2</v>
      </c>
      <c r="D155" s="4">
        <v>45728</v>
      </c>
      <c r="E155" s="16" t="str">
        <f>HYPERLINK("https://www8.mpce.mp.br/Empenhos/150001/Objeto/39-2024.pdf","EMPENHO REF. LOCAÇÃO DE NOBREAK DE 3 KVA, CONF. CONTRATO 039/2024, REF. MAR/2025, POR ESTIMATIVA.")</f>
        <v>EMPENHO REF. LOCAÇÃO DE NOBREAK DE 3 KVA, CONF. CONTRATO 039/2024, REF. MAR/2025, POR ESTIMATIVA.</v>
      </c>
      <c r="F155" s="2" t="s">
        <v>251</v>
      </c>
      <c r="G155" s="5" t="str">
        <f>HYPERLINK("https://siafe.sefaz.ce.gov.br/Siafe/downloadSignature?token=95e2ad2037ee48fd91bc7509efded1ab","2025NE000487")</f>
        <v>2025NE000487</v>
      </c>
      <c r="H155" s="6">
        <v>9000</v>
      </c>
      <c r="I155" s="7" t="s">
        <v>60</v>
      </c>
      <c r="J155" s="10" t="s">
        <v>252</v>
      </c>
      <c r="L155" s="13"/>
    </row>
    <row r="156" spans="1:12" x14ac:dyDescent="0.25">
      <c r="A156" s="12" t="s">
        <v>159</v>
      </c>
      <c r="B156" s="2" t="s">
        <v>350</v>
      </c>
      <c r="C156" s="3" t="str">
        <f>HYPERLINK("https://transparencia-area-fim.mpce.mp.br/#/consulta/processo/pastadigital/092023000255300","09.2023.00025530-0")</f>
        <v>09.2023.00025530-0</v>
      </c>
      <c r="D156" s="4">
        <v>45729</v>
      </c>
      <c r="E156" s="16" t="str">
        <f>HYPERLINK("https://www8.mpce.mp.br/Empenhos/150001/Objeto/42-2024.pdf","SISTEMA SAJ-MP - SUPORTE 1° NÍVEL, CONF. CONTRATO Nº 042/2024, REF. AOS MESES DE FEV/MARÇO DE 2025.")</f>
        <v>SISTEMA SAJ-MP - SUPORTE 1° NÍVEL, CONF. CONTRATO Nº 042/2024, REF. AOS MESES DE FEV/MARÇO DE 2025.</v>
      </c>
      <c r="F156" s="2" t="s">
        <v>279</v>
      </c>
      <c r="G156" s="5" t="str">
        <f>HYPERLINK("https://siafe.sefaz.ce.gov.br/Siafe/downloadSignature?token=398d0423021341e69475c3ef839ae1b8","2025NE000495")</f>
        <v>2025NE000495</v>
      </c>
      <c r="H156" s="6">
        <v>315930</v>
      </c>
      <c r="I156" s="7" t="s">
        <v>73</v>
      </c>
      <c r="J156" s="10" t="s">
        <v>280</v>
      </c>
      <c r="L156" s="13"/>
    </row>
    <row r="157" spans="1:12" x14ac:dyDescent="0.25">
      <c r="A157" s="12" t="s">
        <v>159</v>
      </c>
      <c r="B157" s="2" t="s">
        <v>351</v>
      </c>
      <c r="C157" s="3" t="str">
        <f>HYPERLINK("https://transparencia-area-fim.mpce.mp.br/#/consulta/processo/pastadigital/092022000400426","09.2022.00040042-6")</f>
        <v>09.2022.00040042-6</v>
      </c>
      <c r="D157" s="4">
        <v>45707</v>
      </c>
      <c r="E157" s="16" t="str">
        <f>HYPERLINK("https://www8.mpce.mp.br/Empenhos/150001/Objeto/07-2023.pdf","PRESTAÇÃO DE SERVIÇO DE LICENÇAS TEMPORAIS NA BASE DE DADOS DE BIBLIOTECA VIRTUAL, PELO PERÍODO DE 12 (DOZE) MESES, CONF. CONTRATO Nº 07/2023.")</f>
        <v>PRESTAÇÃO DE SERVIÇO DE LICENÇAS TEMPORAIS NA BASE DE DADOS DE BIBLIOTECA VIRTUAL, PELO PERÍODO DE 12 (DOZE) MESES, CONF. CONTRATO Nº 07/2023.</v>
      </c>
      <c r="F157" s="2" t="s">
        <v>352</v>
      </c>
      <c r="G157" s="5" t="str">
        <f>HYPERLINK("http://www8.mpce.mp.br/Empenhos/150001/NE/2025NE000496.pdf","2025NE000496")</f>
        <v>2025NE000496</v>
      </c>
      <c r="H157" s="6">
        <v>95437.25</v>
      </c>
      <c r="I157" s="7" t="s">
        <v>353</v>
      </c>
      <c r="J157" s="10" t="s">
        <v>354</v>
      </c>
      <c r="L157" s="13"/>
    </row>
    <row r="158" spans="1:12" x14ac:dyDescent="0.25">
      <c r="A158" s="12" t="s">
        <v>19</v>
      </c>
      <c r="B158" s="2" t="s">
        <v>187</v>
      </c>
      <c r="C158" s="3" t="str">
        <f>HYPERLINK("http://www8.mpce.mp.br/Dispensa/842220170.pdf","8422/20170")</f>
        <v>8422/20170</v>
      </c>
      <c r="D158" s="4">
        <v>45729</v>
      </c>
      <c r="E158" s="16" t="str">
        <f>HYPERLINK("https://www8.mpce.mp.br/Empenhos/150001/Objeto/16-2017.pdf","EMPENHO REF. IPTU DE IMÓVEL ONDE FUNCIONA SEDE DE PROMOTORIAS DE JUSTIÇA CRIMINAIS DA COMARCA DE FORTALEZA, CONF. CONTRATO 016/2017, REF. 2025 - 2ª PARCELA.")</f>
        <v>EMPENHO REF. IPTU DE IMÓVEL ONDE FUNCIONA SEDE DE PROMOTORIAS DE JUSTIÇA CRIMINAIS DA COMARCA DE FORTALEZA, CONF. CONTRATO 016/2017, REF. 2025 - 2ª PARCELA.</v>
      </c>
      <c r="F158" s="2" t="s">
        <v>323</v>
      </c>
      <c r="G158" s="5" t="str">
        <f>HYPERLINK("https://siafe.sefaz.ce.gov.br/Siafe/downloadSignature?token=32dc2a20263a4751bba2abae7282a731","2025NE000501")</f>
        <v>2025NE000501</v>
      </c>
      <c r="H158" s="6">
        <v>2742.33</v>
      </c>
      <c r="I158" s="7" t="s">
        <v>29</v>
      </c>
      <c r="J158" s="10" t="s">
        <v>158</v>
      </c>
      <c r="L158" s="13"/>
    </row>
    <row r="159" spans="1:12" x14ac:dyDescent="0.25">
      <c r="A159" s="12" t="s">
        <v>159</v>
      </c>
      <c r="B159" s="2" t="s">
        <v>278</v>
      </c>
      <c r="C159" s="3" t="str">
        <f>HYPERLINK("https://transparencia-area-fim.mpce.mp.br/#/consulta/processo/pastadigital/092023000255300","09.2023.00025530-0")</f>
        <v>09.2023.00025530-0</v>
      </c>
      <c r="D159" s="4">
        <v>45729</v>
      </c>
      <c r="E159" s="16" t="str">
        <f>HYPERLINK("https://www8.mpce.mp.br/Empenhos/150001/Objeto/42-2024.pdf","EMPENHO REF. SERVIÇO DO SISTEMA SAJ-MP - SUPORTE ESTENDIDO, CONF. CONTRATO 042/2024, REF. MAR/2025, POR ESTIMATIVA.")</f>
        <v>EMPENHO REF. SERVIÇO DO SISTEMA SAJ-MP - SUPORTE ESTENDIDO, CONF. CONTRATO 042/2024, REF. MAR/2025, POR ESTIMATIVA.</v>
      </c>
      <c r="F159" s="2" t="s">
        <v>279</v>
      </c>
      <c r="G159" s="5" t="str">
        <f>HYPERLINK("https://siafe.sefaz.ce.gov.br/Siafe/downloadSignature?token=7e3ff011fbf742dd85c33e1836e7d6f9","2025NE000503")</f>
        <v>2025NE000503</v>
      </c>
      <c r="H159" s="6">
        <v>13896.9</v>
      </c>
      <c r="I159" s="7" t="s">
        <v>73</v>
      </c>
      <c r="J159" s="10" t="s">
        <v>280</v>
      </c>
      <c r="L159" s="13"/>
    </row>
    <row r="160" spans="1:12" x14ac:dyDescent="0.25">
      <c r="A160" s="12" t="s">
        <v>159</v>
      </c>
      <c r="B160" s="2" t="s">
        <v>278</v>
      </c>
      <c r="C160" s="3" t="str">
        <f>HYPERLINK("https://transparencia-area-fim.mpce.mp.br/#/consulta/processo/pastadigital/092023000255300","09.2023.00025530-0")</f>
        <v>09.2023.00025530-0</v>
      </c>
      <c r="D160" s="4">
        <v>45729</v>
      </c>
      <c r="E160" s="16" t="str">
        <f>HYPERLINK("https://www8.mpce.mp.br/Empenhos/150001/Objeto/42-2024.pdf","EMPENHO REF. SERVIÇO DO SISTEMA SAJ-MP - SUSTENTAÇÃO, CONF. CONTRATO 042/2024, REF. FEV E MAR/2025, POR ESTIMATIVA.")</f>
        <v>EMPENHO REF. SERVIÇO DO SISTEMA SAJ-MP - SUSTENTAÇÃO, CONF. CONTRATO 042/2024, REF. FEV E MAR/2025, POR ESTIMATIVA.</v>
      </c>
      <c r="F160" s="2" t="s">
        <v>279</v>
      </c>
      <c r="G160" s="5" t="str">
        <f>HYPERLINK("https://siafe.sefaz.ce.gov.br/Siafe/downloadSignature?token=fbdf87fdf1cf4d83a4fc60ef9c4b16e5","2025NE000504")</f>
        <v>2025NE000504</v>
      </c>
      <c r="H160" s="6">
        <v>165216</v>
      </c>
      <c r="I160" s="7" t="s">
        <v>73</v>
      </c>
      <c r="J160" s="10" t="s">
        <v>280</v>
      </c>
      <c r="L160" s="13"/>
    </row>
    <row r="161" spans="1:12" x14ac:dyDescent="0.25">
      <c r="A161" s="12" t="s">
        <v>159</v>
      </c>
      <c r="B161" s="2" t="s">
        <v>278</v>
      </c>
      <c r="C161" s="3" t="str">
        <f>HYPERLINK("https://transparencia-area-fim.mpce.mp.br/#/consulta/processo/pastadigital/092023000255300","09.2023.00025530-0")</f>
        <v>09.2023.00025530-0</v>
      </c>
      <c r="D161" s="4">
        <v>45729</v>
      </c>
      <c r="E161" s="16" t="str">
        <f>HYPERLINK("https://www8.mpce.mp.br/Empenhos/150001/Objeto/42-2024.pdf","EMPENHO SUPLEMENTAR À NED 2025NE000229 REF. SERVIÇO DO SISTEMA SAJMP - GETF, CONF. CONTRATO 042/2024, REF. JAN/2025, CONF. SOLICITADO PELO GESTOR (FLS. 27).")</f>
        <v>EMPENHO SUPLEMENTAR À NED 2025NE000229 REF. SERVIÇO DO SISTEMA SAJMP - GETF, CONF. CONTRATO 042/2024, REF. JAN/2025, CONF. SOLICITADO PELO GESTOR (FLS. 27).</v>
      </c>
      <c r="F161" s="2" t="s">
        <v>284</v>
      </c>
      <c r="G161" s="5" t="str">
        <f>HYPERLINK("https://siafe.sefaz.ce.gov.br/Siafe/downloadSignature?token=b8018b71f23d40469691d1fddc791caf","2025NE000505")</f>
        <v>2025NE000505</v>
      </c>
      <c r="H161" s="6">
        <v>16948.21</v>
      </c>
      <c r="I161" s="7" t="s">
        <v>73</v>
      </c>
      <c r="J161" s="10" t="s">
        <v>280</v>
      </c>
      <c r="L161" s="13"/>
    </row>
    <row r="162" spans="1:12" x14ac:dyDescent="0.25">
      <c r="A162" s="12" t="s">
        <v>159</v>
      </c>
      <c r="B162" s="2" t="s">
        <v>278</v>
      </c>
      <c r="C162" s="3" t="str">
        <f>HYPERLINK("https://transparencia-area-fim.mpce.mp.br/#/consulta/processo/pastadigital/092023000255300","09.2023.00025530-0")</f>
        <v>09.2023.00025530-0</v>
      </c>
      <c r="D162" s="4">
        <v>45729</v>
      </c>
      <c r="E162" s="16" t="str">
        <f>HYPERLINK("https://www8.mpce.mp.br/Empenhos/150001/Objeto/42-2024.pdf","EMPENHO REF. SERVIÇO DO SISTEMA SAJMP - GETF, CONF. CONTRATO 042/2024, REF. FEV E MAR/2025, POR ESTIMATIVA.")</f>
        <v>EMPENHO REF. SERVIÇO DO SISTEMA SAJMP - GETF, CONF. CONTRATO 042/2024, REF. FEV E MAR/2025, POR ESTIMATIVA.</v>
      </c>
      <c r="F162" s="2" t="s">
        <v>284</v>
      </c>
      <c r="G162" s="5" t="str">
        <f>HYPERLINK("https://siafe.sefaz.ce.gov.br/Siafe/downloadSignature?token=79bcaac37cb14fdd8f512bf5efb71282","2025NE000506")</f>
        <v>2025NE000506</v>
      </c>
      <c r="H162" s="6">
        <v>306856</v>
      </c>
      <c r="I162" s="7" t="s">
        <v>73</v>
      </c>
      <c r="J162" s="10" t="s">
        <v>280</v>
      </c>
      <c r="L162" s="13"/>
    </row>
    <row r="163" spans="1:12" x14ac:dyDescent="0.25">
      <c r="A163" s="12" t="s">
        <v>19</v>
      </c>
      <c r="B163" s="2" t="s">
        <v>355</v>
      </c>
      <c r="C163" s="3" t="str">
        <f>HYPERLINK("https://transparencia-area-fim.mpce.mp.br/#/consulta/processo/pastadigital/092022000120475","09.2022.00012047-5")</f>
        <v>09.2022.00012047-5</v>
      </c>
      <c r="D163" s="4">
        <v>45712</v>
      </c>
      <c r="E163" s="16" t="str">
        <f>HYPERLINK("https://www8.mpce.mp.br/Empenhos/150001/Objeto/54-2022.pdf","PRESTAÇÃO DO SERVIÇO DE CONSULTA DE DADOS CADASTRAIS DE ÂMBITO NACIONAL, VIA WEB SERVICE, CONF. CONTRATO Nº 054/2025, REF. AO ANO DE 2025.")</f>
        <v>PRESTAÇÃO DO SERVIÇO DE CONSULTA DE DADOS CADASTRAIS DE ÂMBITO NACIONAL, VIA WEB SERVICE, CONF. CONTRATO Nº 054/2025, REF. AO ANO DE 2025.</v>
      </c>
      <c r="F163" s="2" t="s">
        <v>356</v>
      </c>
      <c r="G163" s="5" t="str">
        <f>HYPERLINK("http://www8.mpce.mp.br/Empenhos/150001/NE/2025NE000506.pdf","2025NE000506")</f>
        <v>2025NE000506</v>
      </c>
      <c r="H163" s="6">
        <v>17785.599999999999</v>
      </c>
      <c r="I163" s="7" t="s">
        <v>357</v>
      </c>
      <c r="J163" s="10" t="s">
        <v>358</v>
      </c>
      <c r="L163" s="13"/>
    </row>
    <row r="164" spans="1:12" x14ac:dyDescent="0.25">
      <c r="A164" s="12" t="s">
        <v>159</v>
      </c>
      <c r="B164" s="2" t="s">
        <v>278</v>
      </c>
      <c r="C164" s="3" t="str">
        <f>HYPERLINK("https://transparencia-area-fim.mpce.mp.br/#/consulta/processo/pastadigital/092023000255300","09.2023.00025530-0")</f>
        <v>09.2023.00025530-0</v>
      </c>
      <c r="D164" s="4">
        <v>45733</v>
      </c>
      <c r="E164" s="16" t="str">
        <f>HYPERLINK("https://www8.mpce.mp.br/Empenhos/150001/Objeto/42-2024.pdf","EMPENHO REF. SERVIÇO DO SISTEMA SAJ-MP - SOB DEMANDA, CONF. CONTRATO 042/2024, REF. MAR/2025, POR ESTIMATIVA.")</f>
        <v>EMPENHO REF. SERVIÇO DO SISTEMA SAJ-MP - SOB DEMANDA, CONF. CONTRATO 042/2024, REF. MAR/2025, POR ESTIMATIVA.</v>
      </c>
      <c r="F164" s="2" t="s">
        <v>279</v>
      </c>
      <c r="G164" s="5" t="str">
        <f>HYPERLINK("https://siafe.sefaz.ce.gov.br/Siafe/downloadSignature?token=82e8ad5341084658b6dc394a273a0872","2025NE000511")</f>
        <v>2025NE000511</v>
      </c>
      <c r="H164" s="6">
        <v>44000</v>
      </c>
      <c r="I164" s="7" t="s">
        <v>73</v>
      </c>
      <c r="J164" s="10" t="s">
        <v>280</v>
      </c>
      <c r="L164" s="13"/>
    </row>
    <row r="165" spans="1:12" x14ac:dyDescent="0.25">
      <c r="A165" s="12" t="s">
        <v>159</v>
      </c>
      <c r="B165" s="2" t="s">
        <v>276</v>
      </c>
      <c r="C165" s="3" t="str">
        <f>HYPERLINK("https://transparencia-area-fim.mpce.mp.br/#/consulta/processo/pastadigital/092023000079630","09.2023.00007963-0")</f>
        <v>09.2023.00007963-0</v>
      </c>
      <c r="D165" s="4">
        <v>45733</v>
      </c>
      <c r="E165" s="16" t="str">
        <f>HYPERLINK("https://www8.mpce.mp.br/Empenhos/150001/Objeto/15-2023.pdf","EMPENHO REF. SERVIÇOS TÉCNICOS ESPECIALIZADOS DE PESQUISA E ACONSELHAMENTO IMPARCIAL EM TECNOLOGIA DA INFORMAÇÃO, CONF. CONTRATO 015/2023, REF. MAR/2025, POR ESTIMATIVA.")</f>
        <v>EMPENHO REF. SERVIÇOS TÉCNICOS ESPECIALIZADOS DE PESQUISA E ACONSELHAMENTO IMPARCIAL EM TECNOLOGIA DA INFORMAÇÃO, CONF. CONTRATO 015/2023, REF. MAR/2025, POR ESTIMATIVA.</v>
      </c>
      <c r="F165" s="2" t="s">
        <v>228</v>
      </c>
      <c r="G165" s="5" t="str">
        <f>HYPERLINK("https://siafe.sefaz.ce.gov.br/Siafe/downloadSignature?token=d54a9c74d21542f18d825526b9f4149c","2025NE000512")</f>
        <v>2025NE000512</v>
      </c>
      <c r="H165" s="6">
        <v>65600</v>
      </c>
      <c r="I165" s="7" t="s">
        <v>72</v>
      </c>
      <c r="J165" s="10" t="s">
        <v>277</v>
      </c>
      <c r="L165" s="13"/>
    </row>
    <row r="166" spans="1:12" x14ac:dyDescent="0.25">
      <c r="A166" s="12" t="s">
        <v>159</v>
      </c>
      <c r="B166" s="2" t="s">
        <v>317</v>
      </c>
      <c r="C166" s="3" t="str">
        <f>HYPERLINK("https://transparencia-area-fim.mpce.mp.br/#/consulta/processo/pastadigital/092023000396910","09.2023.00039691-0")</f>
        <v>09.2023.00039691-0</v>
      </c>
      <c r="D166" s="4">
        <v>45737</v>
      </c>
      <c r="E166" s="16" t="str">
        <f>HYPERLINK("https://www8.mpce.mp.br/Empenhos/150001/Objeto/19-2024.pdf","EMPENHO REF. 700 (SETECENTAS) LICENÇAS DE ACESSO À PLATAFORMA ON-LINE DE CURSOS DE APERFEIÇOAMENTO/TREINAMENTO ESPECIALIZADO, CONF. CONTRATO 019/2024, REF. 2025, POR ESTIMATIVA.")</f>
        <v>EMPENHO REF. 700 (SETECENTAS) LICENÇAS DE ACESSO À PLATAFORMA ON-LINE DE CURSOS DE APERFEIÇOAMENTO/TREINAMENTO ESPECIALIZADO, CONF. CONTRATO 019/2024, REF. 2025, POR ESTIMATIVA.</v>
      </c>
      <c r="F166" s="2" t="s">
        <v>228</v>
      </c>
      <c r="G166" s="5" t="str">
        <f>HYPERLINK("http://www8.mpce.mp.br/Empenhos/150501/NE/2025NE000534.pdf","2025NE000534")</f>
        <v>2025NE000534</v>
      </c>
      <c r="H166" s="6">
        <v>682500</v>
      </c>
      <c r="I166" s="7" t="s">
        <v>359</v>
      </c>
      <c r="J166" s="10" t="s">
        <v>360</v>
      </c>
      <c r="L166" s="13"/>
    </row>
    <row r="167" spans="1:12" x14ac:dyDescent="0.25">
      <c r="A167" s="12" t="s">
        <v>19</v>
      </c>
      <c r="B167" s="2" t="s">
        <v>187</v>
      </c>
      <c r="C167" s="3" t="str">
        <f>HYPERLINK("http://www8.mpce.mp.br/Dispensa/842220170.pdf","8422/20170")</f>
        <v>8422/20170</v>
      </c>
      <c r="D167" s="4">
        <v>45758</v>
      </c>
      <c r="E167" s="16" t="str">
        <f>HYPERLINK("https://www8.mpce.mp.br/Empenhos/150001/Objeto/16-2017.pdf","EMPENHO REF. ALUGUEL DE IMÓVEL ONDE FUNCIONA SEDE DE PROMOTORIAS DE JUSTIÇA CRIMINAIS DA COMARCA DE FORTALEZA, CONF. CONTRATO 016/2017, REF. ABR, MAI E JUN/2025, POR ESTIMATIVA.")</f>
        <v>EMPENHO REF. ALUGUEL DE IMÓVEL ONDE FUNCIONA SEDE DE PROMOTORIAS DE JUSTIÇA CRIMINAIS DA COMARCA DE FORTALEZA, CONF. CONTRATO 016/2017, REF. ABR, MAI E JUN/2025, POR ESTIMATIVA.</v>
      </c>
      <c r="F167" s="2" t="s">
        <v>130</v>
      </c>
      <c r="G167" s="5" t="str">
        <f>HYPERLINK("https://siafe.sefaz.ce.gov.br/Siafe/downloadSignature?token=d54b9b74a0184eda9df876189e9ed739","2025NE000568")</f>
        <v>2025NE000568</v>
      </c>
      <c r="H167" s="6">
        <v>184260.66</v>
      </c>
      <c r="I167" s="7" t="s">
        <v>29</v>
      </c>
      <c r="J167" s="10" t="s">
        <v>158</v>
      </c>
      <c r="L167" s="13"/>
    </row>
    <row r="168" spans="1:12" x14ac:dyDescent="0.25">
      <c r="A168" s="12" t="s">
        <v>19</v>
      </c>
      <c r="B168" s="2" t="s">
        <v>187</v>
      </c>
      <c r="C168" s="3" t="str">
        <f>HYPERLINK("http://www8.mpce.mp.br/Dispensa/4793720162.pdf","4793720162")</f>
        <v>4793720162</v>
      </c>
      <c r="D168" s="4">
        <v>45758</v>
      </c>
      <c r="E168" s="16" t="str">
        <f>HYPERLINK("https://www8.mpce.mp.br/Empenhos/150001/Objeto/14-2017.pdf","EMPENHO REF. ALUGUEL DE IMÓVEL ONDE FUNCIONA GALPÃO DO ALMOXARIFADO E PATRIMÔNIO DA PGJ, CONF. CONTRATO 014/2017, REF. ABR, MAI E JUN/2025, POR ESTIMATIVA.")</f>
        <v>EMPENHO REF. ALUGUEL DE IMÓVEL ONDE FUNCIONA GALPÃO DO ALMOXARIFADO E PATRIMÔNIO DA PGJ, CONF. CONTRATO 014/2017, REF. ABR, MAI E JUN/2025, POR ESTIMATIVA.</v>
      </c>
      <c r="F168" s="2" t="s">
        <v>130</v>
      </c>
      <c r="G168" s="5" t="str">
        <f>HYPERLINK("https://siafe.sefaz.ce.gov.br/Siafe/downloadSignature?token=0140fe780b3841afaccbbce036348aeb","2025NE000570")</f>
        <v>2025NE000570</v>
      </c>
      <c r="H168" s="6">
        <v>66430.44</v>
      </c>
      <c r="I168" s="7" t="s">
        <v>30</v>
      </c>
      <c r="J168" s="10" t="s">
        <v>161</v>
      </c>
      <c r="L168" s="13"/>
    </row>
    <row r="169" spans="1:12" x14ac:dyDescent="0.25">
      <c r="A169" s="12" t="s">
        <v>159</v>
      </c>
      <c r="B169" s="2" t="s">
        <v>191</v>
      </c>
      <c r="C169" s="3" t="str">
        <f>HYPERLINK("https://transparencia-area-fim.mpce.mp.br/#/consulta/processo/pastadigital/092023000293915","09.2023.00029391-5")</f>
        <v>09.2023.00029391-5</v>
      </c>
      <c r="D169" s="4">
        <v>45758</v>
      </c>
      <c r="E169" s="16" t="str">
        <f>HYPERLINK("https://www8.mpce.mp.br/Empenhos/150001/Objeto/54-2023.pdf","EMPENHO REF. ALUGUEL DE IMÓVEL ONDE FUNCIONA GALPÃO DO ALMOXARIFADO E PATRIMÔNIO DA PGJ, CONF. CONTRATO 054/2023, REF. ABR, MAI E JUN/2025, POR ESTIMATIVA.")</f>
        <v>EMPENHO REF. ALUGUEL DE IMÓVEL ONDE FUNCIONA GALPÃO DO ALMOXARIFADO E PATRIMÔNIO DA PGJ, CONF. CONTRATO 054/2023, REF. ABR, MAI E JUN/2025, POR ESTIMATIVA.</v>
      </c>
      <c r="F169" s="2" t="s">
        <v>130</v>
      </c>
      <c r="G169" s="5" t="str">
        <f>HYPERLINK("https://siafe.sefaz.ce.gov.br/Siafe/downloadSignature?token=de0389e27bb6460f8957a69d61064c8c","2025NE000573")</f>
        <v>2025NE000573</v>
      </c>
      <c r="H169" s="6">
        <v>68920.320000000007</v>
      </c>
      <c r="I169" s="7" t="s">
        <v>30</v>
      </c>
      <c r="J169" s="10" t="s">
        <v>161</v>
      </c>
      <c r="L169" s="13"/>
    </row>
    <row r="170" spans="1:12" x14ac:dyDescent="0.25">
      <c r="A170" s="12" t="s">
        <v>19</v>
      </c>
      <c r="B170" s="2" t="s">
        <v>187</v>
      </c>
      <c r="C170" s="3" t="str">
        <f>HYPERLINK("https://transparencia-area-fim.mpce.mp.br/#/consulta/processo/pastadigital/092022000197876","09.2022.00019787-6")</f>
        <v>09.2022.00019787-6</v>
      </c>
      <c r="D170" s="4">
        <v>45751</v>
      </c>
      <c r="E170" s="16" t="str">
        <f>HYPERLINK("https://www8.mpce.mp.br/Empenhos/150001/Objeto/02-2023.pdf","EMPENHO REF. ALUGUEL DE IMÓVEL ONDE FUNCIONA O NÚCLEO DE MEDIAÇÃO COMUNITÁRIA DO BOM JARDIM, CONF. CONTRATO 002/2023, REF. ABR-JUN/2025, POR ESTIMATIVA.")</f>
        <v>EMPENHO REF. ALUGUEL DE IMÓVEL ONDE FUNCIONA O NÚCLEO DE MEDIAÇÃO COMUNITÁRIA DO BOM JARDIM, CONF. CONTRATO 002/2023, REF. ABR-JUN/2025, POR ESTIMATIVA.</v>
      </c>
      <c r="F170" s="2" t="s">
        <v>130</v>
      </c>
      <c r="G170" s="5" t="str">
        <f>HYPERLINK("https://siafe.sefaz.ce.gov.br/Siafe/downloadSignature?token=ad8eeadfe07b484bb4260e84f816cbc9","2025NE000575")</f>
        <v>2025NE000575</v>
      </c>
      <c r="H170" s="6">
        <v>16800</v>
      </c>
      <c r="I170" s="7" t="s">
        <v>28</v>
      </c>
      <c r="J170" s="10" t="s">
        <v>156</v>
      </c>
      <c r="L170" s="13"/>
    </row>
    <row r="171" spans="1:12" x14ac:dyDescent="0.25">
      <c r="A171" s="12" t="s">
        <v>19</v>
      </c>
      <c r="B171" s="2" t="s">
        <v>243</v>
      </c>
      <c r="C171" s="3" t="str">
        <f>HYPERLINK("https://transparencia-area-fim.mpce.mp.br/#/consulta/processo/pastadigital/092024000176845","09.2024.00017684-5")</f>
        <v>09.2024.00017684-5</v>
      </c>
      <c r="D171" s="4">
        <v>45744</v>
      </c>
      <c r="E171" s="16" t="str">
        <f>HYPERLINK("https://www8.mpce.mp.br/Empenhos/150001/Objeto/58-2024.pdf","EMPENHO SUPLEMENTAR DA NED 2025NE000253 REF. SERVIÇOS ESPECIALIZADOS EM SEGURANÇA (ANTIVÍRUS), CONF. CONTRATO 058/2024, PARA CONTEMPLAR AS COMPETÊNCIAS FEV E MAR/2025, CONF. SOL"&amp;"ICITAÇÃO INICIAL DO GESTOR.")</f>
        <v>EMPENHO SUPLEMENTAR DA NED 2025NE000253 REF. SERVIÇOS ESPECIALIZADOS EM SEGURANÇA (ANTIVÍRUS), CONF. CONTRATO 058/2024, PARA CONTEMPLAR AS COMPETÊNCIAS FEV E MAR/2025, CONF. SOLICITAÇÃO INICIAL DO GESTOR.</v>
      </c>
      <c r="F171" s="2" t="s">
        <v>211</v>
      </c>
      <c r="G171" s="5" t="str">
        <f>HYPERLINK("https://siafe.sefaz.ce.gov.br/Siafe/downloadSignature?token=0e84ad3bed734be9bb61dd6f2f39464d","2025NE000591")</f>
        <v>2025NE000591</v>
      </c>
      <c r="H171" s="6">
        <v>245901.3</v>
      </c>
      <c r="I171" s="7" t="s">
        <v>51</v>
      </c>
      <c r="J171" s="10" t="s">
        <v>212</v>
      </c>
      <c r="L171" s="13"/>
    </row>
    <row r="172" spans="1:12" x14ac:dyDescent="0.25">
      <c r="A172" s="12" t="s">
        <v>19</v>
      </c>
      <c r="B172" s="2" t="s">
        <v>187</v>
      </c>
      <c r="C172" s="3" t="str">
        <f>HYPERLINK("http://www8.mpce.mp.br/Dispensa/4503020176.pdf","45030/2017-6")</f>
        <v>45030/2017-6</v>
      </c>
      <c r="D172" s="4">
        <v>45744</v>
      </c>
      <c r="E172" s="16" t="str">
        <f>HYPERLINK("https://www8.mpce.mp.br/Empenhos/150001/Objeto/74-2019.pdf","EMPENHO REF. IPTU DE IMÓVEL ONDE FUNCIONA SEDE DE PROMOTORIAS DE JUSTIÇA DA COMARCA DE GRANJA, CONF. CONTRATO 074/2019, REF. 2025 - PARCELA ÚNICA.")</f>
        <v>EMPENHO REF. IPTU DE IMÓVEL ONDE FUNCIONA SEDE DE PROMOTORIAS DE JUSTIÇA DA COMARCA DE GRANJA, CONF. CONTRATO 074/2019, REF. 2025 - PARCELA ÚNICA.</v>
      </c>
      <c r="F172" s="2" t="s">
        <v>361</v>
      </c>
      <c r="G172" s="5" t="str">
        <f>HYPERLINK("https://siafe.sefaz.ce.gov.br/Siafe/downloadSignature?token=71e5c5b946544d79a200024a860dc168","2025NE000593")</f>
        <v>2025NE000593</v>
      </c>
      <c r="H172" s="6">
        <v>283.38</v>
      </c>
      <c r="I172" s="7" t="s">
        <v>95</v>
      </c>
      <c r="J172" s="10" t="s">
        <v>96</v>
      </c>
      <c r="L172" s="13"/>
    </row>
    <row r="173" spans="1:12" x14ac:dyDescent="0.25">
      <c r="A173" s="12" t="s">
        <v>159</v>
      </c>
      <c r="B173" s="2" t="s">
        <v>253</v>
      </c>
      <c r="C173" s="3" t="str">
        <f>HYPERLINK("https://transparencia-area-fim.mpce.mp.br/#/consulta/processo/pastadigital/092021000000456","09.2021.00000045-6")</f>
        <v>09.2021.00000045-6</v>
      </c>
      <c r="D173" s="4">
        <v>45748</v>
      </c>
      <c r="E173" s="16" t="str">
        <f>HYPERLINK("https://www8.mpce.mp.br/Empenhos/150001/Objeto/02-2021.pdf","EMPENHO REF. SUPORTE TÉCNICO DA SOLUÇÃO GUARDIÃO WEB-BY NGC, CONF. CONTRATO 002/2021, REF. MAR/2025, POR ESTIMATIVA. ")</f>
        <v xml:space="preserve">EMPENHO REF. SUPORTE TÉCNICO DA SOLUÇÃO GUARDIÃO WEB-BY NGC, CONF. CONTRATO 002/2021, REF. MAR/2025, POR ESTIMATIVA. </v>
      </c>
      <c r="F173" s="2" t="s">
        <v>248</v>
      </c>
      <c r="G173" s="5" t="str">
        <f>HYPERLINK("https://siafe.sefaz.ce.gov.br/Siafe/downloadSignature?token=3dcf96db8a78403d8692ef5195cdc28c","2025NE000612")</f>
        <v>2025NE000612</v>
      </c>
      <c r="H173" s="6">
        <v>18883.91</v>
      </c>
      <c r="I173" s="7" t="s">
        <v>59</v>
      </c>
      <c r="J173" s="10" t="s">
        <v>249</v>
      </c>
      <c r="L173" s="13"/>
    </row>
    <row r="174" spans="1:12" x14ac:dyDescent="0.25">
      <c r="A174" s="12" t="s">
        <v>19</v>
      </c>
      <c r="B174" s="2" t="s">
        <v>362</v>
      </c>
      <c r="C174" s="3" t="str">
        <f>HYPERLINK("https://transparencia-area-fim.mpce.mp.br/#/consulta/processo/pastadigital/092025000058543","09.2025.00005854-3")</f>
        <v>09.2025.00005854-3</v>
      </c>
      <c r="D174" s="4">
        <v>45722</v>
      </c>
      <c r="E174" s="16" t="s">
        <v>363</v>
      </c>
      <c r="F174" s="2" t="s">
        <v>364</v>
      </c>
      <c r="G174" s="5" t="str">
        <f>HYPERLINK("https://siafe.sefaz.ce.gov.br/Siafe/downloadSignature?token=dd3b149c04154c94818652f6d46a6239","2025NE000612")</f>
        <v>2025NE000612</v>
      </c>
      <c r="H174" s="6">
        <v>7990</v>
      </c>
      <c r="I174" s="7" t="s">
        <v>365</v>
      </c>
      <c r="J174" s="10" t="s">
        <v>366</v>
      </c>
      <c r="L174" s="13"/>
    </row>
    <row r="175" spans="1:12" x14ac:dyDescent="0.25">
      <c r="A175" s="12" t="s">
        <v>159</v>
      </c>
      <c r="B175" s="2" t="s">
        <v>253</v>
      </c>
      <c r="C175" s="3" t="str">
        <f>HYPERLINK("https://transparencia-area-fim.mpce.mp.br/#/consulta/processo/pastadigital/092021000189150","09.2021.00018915-0")</f>
        <v>09.2021.00018915-0</v>
      </c>
      <c r="D175" s="4">
        <v>45748</v>
      </c>
      <c r="E175" s="16" t="str">
        <f>HYPERLINK("https://www8.mpce.mp.br/Empenhos/150001/Objeto/09-2022.pdf","EMPENHO REF. SERVIÇOS DE EXTENSÃO DE GARANTIA PARA O DATA CENTER, CONF. CONTRATO 009/2022, REF. MAR/2025, POR ESTIMATIVA.")</f>
        <v>EMPENHO REF. SERVIÇOS DE EXTENSÃO DE GARANTIA PARA O DATA CENTER, CONF. CONTRATO 009/2022, REF. MAR/2025, POR ESTIMATIVA.</v>
      </c>
      <c r="F175" s="2" t="s">
        <v>264</v>
      </c>
      <c r="G175" s="5" t="str">
        <f>HYPERLINK("https://siafe.sefaz.ce.gov.br/Siafe/downloadSignature?token=d428d1c8a6a841eb9fbabd3170a4f6a1","2025NE000614")</f>
        <v>2025NE000614</v>
      </c>
      <c r="H175" s="6">
        <v>21000</v>
      </c>
      <c r="I175" s="7" t="s">
        <v>66</v>
      </c>
      <c r="J175" s="10" t="s">
        <v>265</v>
      </c>
      <c r="L175" s="13"/>
    </row>
    <row r="176" spans="1:12" x14ac:dyDescent="0.25">
      <c r="A176" s="12" t="s">
        <v>19</v>
      </c>
      <c r="B176" s="2" t="s">
        <v>210</v>
      </c>
      <c r="C176" s="3" t="str">
        <f>HYPERLINK("https://transparencia-area-fim.mpce.mp.br/#/consulta/processo/pastadigital/092021000166790","09.2021.00016679-0")</f>
        <v>09.2021.00016679-0</v>
      </c>
      <c r="D176" s="4">
        <v>45750</v>
      </c>
      <c r="E176" s="16" t="str">
        <f>HYPERLINK("https://www8.mpce.mp.br/Empenhos/150001/Objeto/24-2022.pdf","EMPENHO REF. ALUGUEL DE IMÓVEL ONDE FUNCIONAM PROMOTORIAS DE JUSTIÇA DA COMARCA DE HORIZONTE, CONF. 2º TERMO DE APOSTILAMENTO AO CONTRATO 024/2022, RETROATIVO A JAN, FEV E MAR/2025.")</f>
        <v>EMPENHO REF. ALUGUEL DE IMÓVEL ONDE FUNCIONAM PROMOTORIAS DE JUSTIÇA DA COMARCA DE HORIZONTE, CONF. 2º TERMO DE APOSTILAMENTO AO CONTRATO 024/2022, RETROATIVO A JAN, FEV E MAR/2025.</v>
      </c>
      <c r="F176" s="2" t="s">
        <v>31</v>
      </c>
      <c r="G176" s="5" t="str">
        <f>HYPERLINK("https://siafe.sefaz.ce.gov.br/Siafe/downloadSignature?token=971c4c1ccb364295b8571e8f883f6fd9","2025NE000619")</f>
        <v>2025NE000619</v>
      </c>
      <c r="H176" s="6">
        <v>305.10000000000002</v>
      </c>
      <c r="I176" s="7" t="s">
        <v>36</v>
      </c>
      <c r="J176" s="10" t="s">
        <v>172</v>
      </c>
      <c r="L176" s="13"/>
    </row>
    <row r="177" spans="1:12" x14ac:dyDescent="0.25">
      <c r="A177" s="12" t="s">
        <v>19</v>
      </c>
      <c r="B177" s="2" t="s">
        <v>187</v>
      </c>
      <c r="C177" s="3" t="str">
        <f>HYPERLINK("http://www8.mpce.mp.br/Dispensa/4503020176.pdf","45030/2017-6")</f>
        <v>45030/2017-6</v>
      </c>
      <c r="D177" s="4">
        <v>45750</v>
      </c>
      <c r="E177" s="16" t="str">
        <f>HYPERLINK("https://www8.mpce.mp.br/Empenhos/150001/Objeto/74-2019.pdf","EMPENHO REF. ALUGUEL DE IMÓVEL ONDE FUNCIONAM PROMOTORIAS DE JUSTIÇA DA COMARCA DE GRANJA, CONF. 6º TERMO DE APOSTILAMENTO AO CONTRATO 074/2019, RETROATIVO A JAN, FEV E MAR/2025.")</f>
        <v>EMPENHO REF. ALUGUEL DE IMÓVEL ONDE FUNCIONAM PROMOTORIAS DE JUSTIÇA DA COMARCA DE GRANJA, CONF. 6º TERMO DE APOSTILAMENTO AO CONTRATO 074/2019, RETROATIVO A JAN, FEV E MAR/2025.</v>
      </c>
      <c r="F177" s="2" t="s">
        <v>31</v>
      </c>
      <c r="G177" s="5" t="str">
        <f>HYPERLINK("https://siafe.sefaz.ce.gov.br/Siafe/downloadSignature?token=19c70d82b48346aea24e306944295d4a","2025NE000620")</f>
        <v>2025NE000620</v>
      </c>
      <c r="H177" s="6">
        <v>442.89</v>
      </c>
      <c r="I177" s="7" t="s">
        <v>95</v>
      </c>
      <c r="J177" s="10" t="s">
        <v>96</v>
      </c>
    </row>
    <row r="178" spans="1:12" x14ac:dyDescent="0.25">
      <c r="A178" s="12" t="s">
        <v>159</v>
      </c>
      <c r="B178" s="2" t="s">
        <v>191</v>
      </c>
      <c r="C178" s="3" t="str">
        <f>HYPERLINK("https://transparencia-area-fim.mpce.mp.br/#/consulta/processo/pastadigital/092024000173970","09.2024.00017397-0")</f>
        <v>09.2024.00017397-0</v>
      </c>
      <c r="D178" s="4">
        <v>45750</v>
      </c>
      <c r="E178" s="16" t="str">
        <f>HYPERLINK("https://www8.mpce.mp.br/Empenhos/150001/Objeto/44-2024.pdf","EMPENHO REF. ALUGUEL DE IMÓVEL ONDE FUNCIONAM PROMOTORIAS DE JUSTIÇA DA COMARCA DE ACARAÚ-CE, CONF. CONTRATO 044/2024 E TERMO DE RECONHECIMENTO DE DÍVIDA 0014/2025/SEFIN, REF. N"&amp;"OV E DEZ/2024.")</f>
        <v>EMPENHO REF. ALUGUEL DE IMÓVEL ONDE FUNCIONAM PROMOTORIAS DE JUSTIÇA DA COMARCA DE ACARAÚ-CE, CONF. CONTRATO 044/2024 E TERMO DE RECONHECIMENTO DE DÍVIDA 0014/2025/SEFIN, REF. NOV E DEZ/2024.</v>
      </c>
      <c r="F178" s="2" t="s">
        <v>367</v>
      </c>
      <c r="G178" s="5" t="str">
        <f>HYPERLINK("https://siafe.sefaz.ce.gov.br/Siafe/downloadSignature?token=9c4885b15d854b469a1a0dcd00bb4d11","2025NE000621")</f>
        <v>2025NE000621</v>
      </c>
      <c r="H178" s="6">
        <v>2450.64</v>
      </c>
      <c r="I178" s="7" t="s">
        <v>48</v>
      </c>
      <c r="J178" s="10" t="s">
        <v>196</v>
      </c>
      <c r="L178" s="13"/>
    </row>
    <row r="179" spans="1:12" x14ac:dyDescent="0.25">
      <c r="A179" s="12" t="s">
        <v>19</v>
      </c>
      <c r="B179" s="2" t="s">
        <v>368</v>
      </c>
      <c r="C179" s="3" t="str">
        <f>HYPERLINK("https://transparencia-area-fim.mpce.mp.br/#/consulta/processo/pastadigital/092023000117363","09.2023.00011736-3")</f>
        <v>09.2023.00011736-3</v>
      </c>
      <c r="D179" s="4">
        <v>45751</v>
      </c>
      <c r="E179" s="16" t="str">
        <f>HYPERLINK("https://www8.mpce.mp.br/Empenhos/150001/Objeto/32-2023.pdf","DISPONIBILIZAÇÃO DE SOLUÇÃO TECNOLÓGICA NA MODALIDADE SOFTWARE COMO SERVIÇO (SAAS) PARA GESTÃO INTEGRADA DE ESTRATÉGIA, PORTFÓLIO, PROJETOS, TAREFAS, REUNIÕES INDICADORES E PROC"&amp;"ESSOS, CONF. CONTRATO Nº 032/2023, REF. AOS MESES DE ABRIL/ MAIO/ JUNHO - 2025.")</f>
        <v>DISPONIBILIZAÇÃO DE SOLUÇÃO TECNOLÓGICA NA MODALIDADE SOFTWARE COMO SERVIÇO (SAAS) PARA GESTÃO INTEGRADA DE ESTRATÉGIA, PORTFÓLIO, PROJETOS, TAREFAS, REUNIÕES INDICADORES E PROCESSOS, CONF. CONTRATO Nº 032/2023, REF. AOS MESES DE ABRIL/ MAIO/ JUNHO - 2025.</v>
      </c>
      <c r="F179" s="2" t="s">
        <v>231</v>
      </c>
      <c r="G179" s="5" t="str">
        <f>HYPERLINK("https://siafe.sefaz.ce.gov.br/Siafe/downloadSignature?token=89022da6983640a398f76f1b3fc9b87f","2025NE000631")</f>
        <v>2025NE000631</v>
      </c>
      <c r="H179" s="6">
        <v>18649.259999999998</v>
      </c>
      <c r="I179" s="7" t="s">
        <v>51</v>
      </c>
      <c r="J179" s="10" t="s">
        <v>212</v>
      </c>
      <c r="L179" s="13"/>
    </row>
    <row r="180" spans="1:12" x14ac:dyDescent="0.25">
      <c r="A180" s="12" t="s">
        <v>159</v>
      </c>
      <c r="B180" s="2" t="s">
        <v>307</v>
      </c>
      <c r="C180" s="3" t="str">
        <f>HYPERLINK("https://transparencia-area-fim.mpce.mp.br/#/consulta/processo/pastadigital/092023000255300","09.2023.00025530-0")</f>
        <v>09.2023.00025530-0</v>
      </c>
      <c r="D180" s="4">
        <v>45751</v>
      </c>
      <c r="E180" s="16" t="str">
        <f>HYPERLINK("https://www8.mpce.mp.br/Empenhos/150001/Objeto/42-2024.pdf","SISTEMA SAJ-MP "&amp;" SUPORTE ESTENDIDO, CONF. CONTRATO Nº 042/2024, REF. AOS MESES DE ABRIL, MAIO E JUNHO DE 2025.")</f>
        <v>SISTEMA SAJ-MP  SUPORTE ESTENDIDO, CONF. CONTRATO Nº 042/2024, REF. AOS MESES DE ABRIL, MAIO E JUNHO DE 2025.</v>
      </c>
      <c r="F180" s="2" t="s">
        <v>279</v>
      </c>
      <c r="G180" s="5" t="str">
        <f>HYPERLINK("https://siafe.sefaz.ce.gov.br/Siafe/downloadSignature?token=b2f0a022947a4d2ba728e20efecd7c2b","2025NE000633")</f>
        <v>2025NE000633</v>
      </c>
      <c r="H180" s="6">
        <v>41690.699999999997</v>
      </c>
      <c r="I180" s="7" t="s">
        <v>73</v>
      </c>
      <c r="J180" s="10" t="s">
        <v>280</v>
      </c>
      <c r="L180" s="13"/>
    </row>
    <row r="181" spans="1:12" x14ac:dyDescent="0.25">
      <c r="A181" s="12" t="s">
        <v>19</v>
      </c>
      <c r="B181" s="2" t="s">
        <v>369</v>
      </c>
      <c r="C181" s="3" t="str">
        <f>HYPERLINK("https://transparencia-area-fim.mpce.mp.br/#/consulta/processo/pastadigital/092021000244271","09.2021.00024427-1")</f>
        <v>09.2021.00024427-1</v>
      </c>
      <c r="D181" s="4">
        <v>45754</v>
      </c>
      <c r="E181" s="16" t="str">
        <f>HYPERLINK("https://www8.mpce.mp.br/Empenhos/150001/Objeto/17-2022.pdf","EMPENHO DOS ALUGUÉIS DOS MESES DE ABRIL A JUNHO DE 2025 (PROMOTORIA TIANGUÁ), CONF. CONTRATO Nº 017/2022.")</f>
        <v>EMPENHO DOS ALUGUÉIS DOS MESES DE ABRIL A JUNHO DE 2025 (PROMOTORIA TIANGUÁ), CONF. CONTRATO Nº 017/2022.</v>
      </c>
      <c r="F181" s="2" t="s">
        <v>130</v>
      </c>
      <c r="G181" s="5" t="str">
        <f>HYPERLINK("https://siafe.sefaz.ce.gov.br/Siafe/downloadSignature?token=48b6ed0a5272405a88db38836855e63b","2025NE000642")</f>
        <v>2025NE000642</v>
      </c>
      <c r="H181" s="6">
        <v>78000</v>
      </c>
      <c r="I181" s="7" t="s">
        <v>22</v>
      </c>
      <c r="J181" s="10" t="s">
        <v>142</v>
      </c>
      <c r="L181" s="13"/>
    </row>
    <row r="182" spans="1:12" x14ac:dyDescent="0.25">
      <c r="A182" s="12" t="s">
        <v>19</v>
      </c>
      <c r="B182" s="2" t="s">
        <v>370</v>
      </c>
      <c r="C182" s="3" t="str">
        <f>HYPERLINK("https://transparencia-area-fim.mpce.mp.br/#/consulta/processo/pastadigital/092021000244582","09.2021.00024458-2")</f>
        <v>09.2021.00024458-2</v>
      </c>
      <c r="D182" s="4">
        <v>45754</v>
      </c>
      <c r="E182" s="17" t="str">
        <f>HYPERLINK("https://www8.mpce.mp.br/Empenhos/150001/Objeto/11-2022.pdf","EMPENHO DOS ALUGUÉIS DOS MESES DE ABRIL A JUNHO DE 2025 (PROMOTORIAS DE JUSTIÇA DA COMARCA DE ARACATI), CONF. CONTRATO Nº 011/2022.")</f>
        <v>EMPENHO DOS ALUGUÉIS DOS MESES DE ABRIL A JUNHO DE 2025 (PROMOTORIAS DE JUSTIÇA DA COMARCA DE ARACATI), CONF. CONTRATO Nº 011/2022.</v>
      </c>
      <c r="F182" s="2" t="s">
        <v>130</v>
      </c>
      <c r="G182" s="5" t="str">
        <f>HYPERLINK("https://siafe.sefaz.ce.gov.br/Siafe/downloadSignature?token=d752eb7f442a4f878412cb51ed2f8ded","2025NE000643")</f>
        <v>2025NE000643</v>
      </c>
      <c r="H182" s="6">
        <v>55395</v>
      </c>
      <c r="I182" s="7" t="s">
        <v>24</v>
      </c>
      <c r="J182" s="10" t="s">
        <v>146</v>
      </c>
      <c r="L182" s="13"/>
    </row>
    <row r="183" spans="1:12" x14ac:dyDescent="0.25">
      <c r="A183" s="12" t="s">
        <v>19</v>
      </c>
      <c r="B183" s="2" t="s">
        <v>371</v>
      </c>
      <c r="C183" s="3" t="str">
        <f>HYPERLINK("https://transparencia-area-fim.mpce.mp.br/#/consulta/processo/pastadigital/092021000065217","09.2021.00006521-7")</f>
        <v>09.2021.00006521-7</v>
      </c>
      <c r="D183" s="4">
        <v>45754</v>
      </c>
      <c r="E183" s="16" t="str">
        <f>HYPERLINK("https://www8.mpce.mp.br/Empenhos/150001/Objeto/38-2021.pdf","EMPENHO DOS ALUGUÉIS DOS MESES DE ABRIL A JUNHO DE 2025 (PROMOTORIAS DE JUSTIÇA DA COMARCA DE TAUÁ), CONF. CONTRATO Nº 038/2021/PGJ.")</f>
        <v>EMPENHO DOS ALUGUÉIS DOS MESES DE ABRIL A JUNHO DE 2025 (PROMOTORIAS DE JUSTIÇA DA COMARCA DE TAUÁ), CONF. CONTRATO Nº 038/2021/PGJ.</v>
      </c>
      <c r="F183" s="2" t="s">
        <v>130</v>
      </c>
      <c r="G183" s="5" t="str">
        <f>HYPERLINK("https://siafe.sefaz.ce.gov.br/Siafe/downloadSignature?token=2759b1724e9044279468364df238e9cf","2025NE000644")</f>
        <v>2025NE000644</v>
      </c>
      <c r="H183" s="6">
        <v>54000</v>
      </c>
      <c r="I183" s="7" t="s">
        <v>26</v>
      </c>
      <c r="J183" s="10" t="s">
        <v>151</v>
      </c>
      <c r="L183" s="13"/>
    </row>
    <row r="184" spans="1:12" x14ac:dyDescent="0.25">
      <c r="A184" s="12" t="s">
        <v>19</v>
      </c>
      <c r="B184" s="2" t="s">
        <v>372</v>
      </c>
      <c r="C184" s="3" t="str">
        <f>HYPERLINK("https://transparencia-area-fim.mpce.mp.br/#/consulta/processo/pastadigital/092023000338552","09.2023.00033855-2")</f>
        <v>09.2023.00033855-2</v>
      </c>
      <c r="D184" s="4">
        <v>45754</v>
      </c>
      <c r="E184" s="16" t="str">
        <f>HYPERLINK("https://www8.mpce.mp.br/Empenhos/150001/Objeto/17-2024.pdf","EMPENHO DOS ALUGUÉIS DOS MESES DE ABRIL A JUNHO DE 2025 (PROMOTORIAS DE JUSTIÇA DA COMARCA DE MARANGUAPE), CONF. CONTRATO Nº 017/2024.")</f>
        <v>EMPENHO DOS ALUGUÉIS DOS MESES DE ABRIL A JUNHO DE 2025 (PROMOTORIAS DE JUSTIÇA DA COMARCA DE MARANGUAPE), CONF. CONTRATO Nº 017/2024.</v>
      </c>
      <c r="F184" s="2" t="s">
        <v>130</v>
      </c>
      <c r="G184" s="5" t="str">
        <f>HYPERLINK("https://siafe.sefaz.ce.gov.br/Siafe/downloadSignature?token=0074a5f75c254ecebd19936db7b02bf1","2025NE000645")</f>
        <v>2025NE000645</v>
      </c>
      <c r="H184" s="6">
        <v>54000</v>
      </c>
      <c r="I184" s="7" t="s">
        <v>218</v>
      </c>
      <c r="J184" s="10" t="s">
        <v>219</v>
      </c>
      <c r="L184" s="13"/>
    </row>
    <row r="185" spans="1:12" x14ac:dyDescent="0.25">
      <c r="A185" s="12" t="s">
        <v>19</v>
      </c>
      <c r="B185" s="2" t="s">
        <v>373</v>
      </c>
      <c r="C185" s="3" t="str">
        <f>HYPERLINK("https://transparencia-area-fim.mpce.mp.br/#/consulta/processo/pastadigital/092023000338530","09.2023.00033853-0")</f>
        <v>09.2023.00033853-0</v>
      </c>
      <c r="D185" s="4">
        <v>45754</v>
      </c>
      <c r="E185" s="16" t="str">
        <f>HYPERLINK("https://www8.mpce.mp.br/Empenhos/150001/Objeto/05-2024.pdf","EMPENHO DOS ALUGUÉIS DOS MESES DE ABRIL A JUNHO DE 2025 (PROMOTORIAS DE JUSTIÇA DA COMARCA DE BATURITÉ), CONF. CONTRATO Nº 005/2024.")</f>
        <v>EMPENHO DOS ALUGUÉIS DOS MESES DE ABRIL A JUNHO DE 2025 (PROMOTORIAS DE JUSTIÇA DA COMARCA DE BATURITÉ), CONF. CONTRATO Nº 005/2024.</v>
      </c>
      <c r="F185" s="2" t="s">
        <v>130</v>
      </c>
      <c r="G185" s="5" t="str">
        <f>HYPERLINK("https://siafe.sefaz.ce.gov.br/Siafe/downloadSignature?token=216fe1e370cd4317bac87734fb42b09f","2025NE000646")</f>
        <v>2025NE000646</v>
      </c>
      <c r="H185" s="6">
        <v>45816</v>
      </c>
      <c r="I185" s="7" t="s">
        <v>21</v>
      </c>
      <c r="J185" s="10" t="s">
        <v>140</v>
      </c>
      <c r="L185" s="13"/>
    </row>
    <row r="186" spans="1:12" x14ac:dyDescent="0.25">
      <c r="A186" s="12" t="s">
        <v>19</v>
      </c>
      <c r="B186" s="2" t="s">
        <v>374</v>
      </c>
      <c r="C186" s="3" t="str">
        <f>HYPERLINK("https://transparencia-area-fim.mpce.mp.br/#/consulta/processo/pastadigital/092023000338563","09.2023.00033856-3")</f>
        <v>09.2023.00033856-3</v>
      </c>
      <c r="D186" s="4">
        <v>45758</v>
      </c>
      <c r="E186" s="16" t="str">
        <f>HYPERLINK("https://www8.mpce.mp.br/Empenhos/150001/Objeto/01-2024.pdf","EMPENHO DOS ALUGUÉIS DOS MESES DE ABRIL A JUNHO DE 2025 (PROMOTORIAS DE JUSTIÇA DA COMARCA DE AQUIRAZ), CONF. CONTRATO Nº 001/2024.")</f>
        <v>EMPENHO DOS ALUGUÉIS DOS MESES DE ABRIL A JUNHO DE 2025 (PROMOTORIAS DE JUSTIÇA DA COMARCA DE AQUIRAZ), CONF. CONTRATO Nº 001/2024.</v>
      </c>
      <c r="F186" s="2" t="s">
        <v>130</v>
      </c>
      <c r="G186" s="5" t="str">
        <f>HYPERLINK("https://siafe.sefaz.ce.gov.br/Siafe/downloadSignature?token=51a1ed7f62df49d499085544080670bb","2025NE000647")</f>
        <v>2025NE000647</v>
      </c>
      <c r="H186" s="6">
        <v>49320</v>
      </c>
      <c r="I186" s="7" t="s">
        <v>27</v>
      </c>
      <c r="J186" s="10" t="s">
        <v>154</v>
      </c>
      <c r="L186" s="13"/>
    </row>
    <row r="187" spans="1:12" x14ac:dyDescent="0.25">
      <c r="A187" s="12" t="s">
        <v>19</v>
      </c>
      <c r="B187" s="2" t="s">
        <v>187</v>
      </c>
      <c r="C187" s="3" t="str">
        <f>HYPERLINK("https://transparencia-area-fim.mpce.mp.br/#/consulta/processo/pastadigital/092023000338541","09.2023.00033854-1")</f>
        <v>09.2023.00033854-1</v>
      </c>
      <c r="D187" s="4">
        <v>45761</v>
      </c>
      <c r="E187" s="16" t="str">
        <f>HYPERLINK("https://www8.mpce.mp.br/Empenhos/150001/Objeto/36-2024.pdf","EMPENHO REF. ALUGUEL DE IMÓVEL ONDE FUNCIONAM PROMOTORIAS DE JUSTIÇA DA COMARCA DE MORADA NOVA, CONF. CONTRATO 036/2024, REF. ABR, MAI E JUN/2025, POR ESTIMATIVA.")</f>
        <v>EMPENHO REF. ALUGUEL DE IMÓVEL ONDE FUNCIONAM PROMOTORIAS DE JUSTIÇA DA COMARCA DE MORADA NOVA, CONF. CONTRATO 036/2024, REF. ABR, MAI E JUN/2025, POR ESTIMATIVA.</v>
      </c>
      <c r="F187" s="2" t="s">
        <v>130</v>
      </c>
      <c r="G187" s="5" t="str">
        <f>HYPERLINK("https://siafe.sefaz.ce.gov.br/Siafe/downloadSignature?token=0564204799a6435dbbb27284414c5b3f","2025NE000648")</f>
        <v>2025NE000648</v>
      </c>
      <c r="H187" s="6">
        <v>52272</v>
      </c>
      <c r="I187" s="7" t="s">
        <v>27</v>
      </c>
      <c r="J187" s="10" t="s">
        <v>154</v>
      </c>
      <c r="L187" s="13"/>
    </row>
    <row r="188" spans="1:12" x14ac:dyDescent="0.25">
      <c r="A188" s="12" t="s">
        <v>19</v>
      </c>
      <c r="B188" s="2" t="s">
        <v>375</v>
      </c>
      <c r="C188" s="3" t="str">
        <f>HYPERLINK("https://transparencia-area-fim.mpce.mp.br/#/consulta/processo/pastadigital/092024000382620","09.2024.00038262-0")</f>
        <v>09.2024.00038262-0</v>
      </c>
      <c r="D188" s="4">
        <v>45755</v>
      </c>
      <c r="E188" s="16" t="str">
        <f>HYPERLINK("https://www8.mpce.mp.br/Empenhos/150001/Objeto/02-2025.pdf","SERVIÇOS DE SUPORTE E FORNECIMENTO DOS SERVIÇOS COMPUTACIONAIS DA PLATAFORMA GOOGLE MAPS, CONF. CONTRATO Nº 002/2025, REF. AOS MESES DE ABRIL, MAIO E JUNHO DE 2025, POR ESTIMATIVA.")</f>
        <v>SERVIÇOS DE SUPORTE E FORNECIMENTO DOS SERVIÇOS COMPUTACIONAIS DA PLATAFORMA GOOGLE MAPS, CONF. CONTRATO Nº 002/2025, REF. AOS MESES DE ABRIL, MAIO E JUNHO DE 2025, POR ESTIMATIVA.</v>
      </c>
      <c r="F188" s="2" t="s">
        <v>279</v>
      </c>
      <c r="G188" s="5" t="str">
        <f>HYPERLINK("https://siafe.sefaz.ce.gov.br/Siafe/downloadSignature?token=859b07bf245844bdbfeaa3d1bb75746c","2025NE000650")</f>
        <v>2025NE000650</v>
      </c>
      <c r="H188" s="6">
        <v>900</v>
      </c>
      <c r="I188" s="7" t="s">
        <v>83</v>
      </c>
      <c r="J188" s="10" t="s">
        <v>322</v>
      </c>
      <c r="L188" s="13"/>
    </row>
    <row r="189" spans="1:12" x14ac:dyDescent="0.25">
      <c r="A189" s="12" t="s">
        <v>19</v>
      </c>
      <c r="B189" s="2" t="s">
        <v>376</v>
      </c>
      <c r="C189" s="3" t="str">
        <f>HYPERLINK("https://transparencia-area-fim.mpce.mp.br/#/consulta/processo/pastadigital/092024000159002","09.2024.00015900-2")</f>
        <v>09.2024.00015900-2</v>
      </c>
      <c r="D189" s="4">
        <v>45755</v>
      </c>
      <c r="E189" s="16" t="str">
        <f>HYPERLINK("https://www8.mpce.mp.br/Empenhos/150001/Objeto/39-2024.pdf","SERVIÇOS DE LOCAÇÃO DE NOBREAKS, VISANDO ATENDER DEMANDAS DO MINISTÉRIO PÚBLICO DO CEARÁ, CONF. CONTRATO Nº 039/2024, REF. AO MÊS DE ABRIL E MAIO (PROPORCIONAL A 28 DIAS), POR E"&amp;"STIMATIVA.")</f>
        <v>SERVIÇOS DE LOCAÇÃO DE NOBREAKS, VISANDO ATENDER DEMANDAS DO MINISTÉRIO PÚBLICO DO CEARÁ, CONF. CONTRATO Nº 039/2024, REF. AO MÊS DE ABRIL E MAIO (PROPORCIONAL A 28 DIAS), POR ESTIMATIVA.</v>
      </c>
      <c r="F189" s="2" t="s">
        <v>251</v>
      </c>
      <c r="G189" s="5" t="str">
        <f>HYPERLINK("https://siafe.sefaz.ce.gov.br/Siafe/downloadSignature?token=90f8d12d33b046839e1c8609997224c1","2025NE000651")</f>
        <v>2025NE000651</v>
      </c>
      <c r="H189" s="6">
        <v>17400</v>
      </c>
      <c r="I189" s="7" t="s">
        <v>60</v>
      </c>
      <c r="J189" s="10" t="s">
        <v>252</v>
      </c>
    </row>
    <row r="190" spans="1:12" x14ac:dyDescent="0.25">
      <c r="A190" s="12" t="s">
        <v>159</v>
      </c>
      <c r="B190" s="2" t="s">
        <v>377</v>
      </c>
      <c r="C190" s="3" t="str">
        <f>HYPERLINK("https://transparencia-area-fim.mpce.mp.br/#/consulta/processo/pastadigital/092023000287946","09.2023.00028794-6")</f>
        <v>09.2023.00028794-6</v>
      </c>
      <c r="D190" s="4">
        <v>45762</v>
      </c>
      <c r="E190" s="16" t="str">
        <f>HYPERLINK("https://www8.mpce.mp.br/Empenhos/150001/Objeto/59-2023.pdf","FORNECIMENTO DE LICENÇAS DE SOFTWARE (SISTEMA DE AVALIAÇÃO DE DESEMPENHO, GESTÃO POR COMPETÊNCIAS, PLANO DE DESENVOLVIMENTO INDIVIDUAL E PESQUISA DE CLIMA ORGANIZACIONAL), INCLU"&amp;"INDO OS SERVIÇOS DE IMPLANTAÇÃO, TREINAMENTO, ATUALIZAÇÃO E SUPORTE TÉCNICO, CONF. CONTRATO Nº 059/2023, REF. AOS MESES DE ABRIL/MAIO/JUNHO - 2025, POR ESTIMATIVA.")</f>
        <v>FORNECIMENTO DE LICENÇAS DE SOFTWARE (SISTEMA DE AVALIAÇÃO DE DESEMPENHO, GESTÃO POR COMPETÊNCIAS, PLANO DE DESENVOLVIMENTO INDIVIDUAL E PESQUISA DE CLIMA ORGANIZACIONAL), INCLUINDO OS SERVIÇOS DE IMPLANTAÇÃO, TREINAMENTO, ATUALIZAÇÃO E SUPORTE TÉCNICO, CONF. CONTRATO Nº 059/2023, REF. AOS MESES DE ABRIL/MAIO/JUNHO - 2025, POR ESTIMATIVA.</v>
      </c>
      <c r="F190" s="2" t="s">
        <v>378</v>
      </c>
      <c r="G190" s="5" t="str">
        <f>HYPERLINK("https://siafe.sefaz.ce.gov.br/Siafe/downloadSignature?token=3b5d98ef648e4147b7a69510e5ae45f8","2025NE000653")</f>
        <v>2025NE000653</v>
      </c>
      <c r="H190" s="6">
        <v>7594.5</v>
      </c>
      <c r="I190" s="7" t="s">
        <v>54</v>
      </c>
      <c r="J190" s="10" t="s">
        <v>229</v>
      </c>
      <c r="L190" s="13"/>
    </row>
    <row r="191" spans="1:12" x14ac:dyDescent="0.25">
      <c r="A191" s="12" t="s">
        <v>19</v>
      </c>
      <c r="B191" s="2" t="s">
        <v>188</v>
      </c>
      <c r="C191" s="3" t="str">
        <f>HYPERLINK("https://transparencia-area-fim.mpce.mp.br/#/consulta/processo/pastadigital/092021000219739","09.2021.00021973-9")</f>
        <v>09.2021.00021973-9</v>
      </c>
      <c r="D191" s="4">
        <v>45755</v>
      </c>
      <c r="E191" s="16" t="str">
        <f>HYPERLINK("https://www8.mpce.mp.br/Empenhos/150001/Objeto/45-2021.pdf","TAXAS CONDOMINIAIS REF. AO IMÓVEL ONDE FUNCIONAM AS PROMOTORIAS DE JUSTIÇA DA COMARCA DE EUSÉBIO, CONF. CONTRATO Nº 045/2021, REF. AOS MESES DE ABRIL A JUNHO DE 2025, POR ESTIMA"&amp;"TIVA.")</f>
        <v>TAXAS CONDOMINIAIS REF. AO IMÓVEL ONDE FUNCIONAM AS PROMOTORIAS DE JUSTIÇA DA COMARCA DE EUSÉBIO, CONF. CONTRATO Nº 045/2021, REF. AOS MESES DE ABRIL A JUNHO DE 2025, POR ESTIMATIVA.</v>
      </c>
      <c r="F191" s="2" t="s">
        <v>189</v>
      </c>
      <c r="G191" s="5" t="str">
        <f>HYPERLINK("https://siafe.sefaz.ce.gov.br/Siafe/downloadSignature?token=0ae1552eb4364436914aaca0f0b8ba70","2025NE000654")</f>
        <v>2025NE000654</v>
      </c>
      <c r="H191" s="6">
        <v>1497.3</v>
      </c>
      <c r="I191" s="7" t="s">
        <v>43</v>
      </c>
      <c r="J191" s="10" t="s">
        <v>186</v>
      </c>
      <c r="L191" s="13"/>
    </row>
    <row r="192" spans="1:12" x14ac:dyDescent="0.25">
      <c r="A192" s="12" t="s">
        <v>19</v>
      </c>
      <c r="B192" s="2" t="s">
        <v>188</v>
      </c>
      <c r="C192" s="3" t="str">
        <f>HYPERLINK("https://transparencia-area-fim.mpce.mp.br/#/consulta/processo/pastadigital/092021000219739","09.2021.00021973-9")</f>
        <v>09.2021.00021973-9</v>
      </c>
      <c r="D192" s="4">
        <v>45755</v>
      </c>
      <c r="E192" s="16" t="str">
        <f>HYPERLINK("https://www8.mpce.mp.br/Empenhos/150001/Objeto/45-2021.pdf","EMPENHO DOS ALUGUÉIS DOS MESES DE ABRIL A JUNHO DE 2025 (PROMOTORIAS DE JUSTIÇA DA COMARCA DE EUSÉBIO), CONF. CONTRATO Nº 045/2021.")</f>
        <v>EMPENHO DOS ALUGUÉIS DOS MESES DE ABRIL A JUNHO DE 2025 (PROMOTORIAS DE JUSTIÇA DA COMARCA DE EUSÉBIO), CONF. CONTRATO Nº 045/2021.</v>
      </c>
      <c r="F192" s="2" t="s">
        <v>130</v>
      </c>
      <c r="G192" s="5" t="str">
        <f>HYPERLINK("https://siafe.sefaz.ce.gov.br/Siafe/downloadSignature?token=d77298566427445a9fc49c4282bbac76","2025NE000655")</f>
        <v>2025NE000655</v>
      </c>
      <c r="H192" s="6">
        <v>4921.05</v>
      </c>
      <c r="I192" s="7" t="s">
        <v>43</v>
      </c>
      <c r="J192" s="10" t="s">
        <v>186</v>
      </c>
      <c r="L192" s="13"/>
    </row>
    <row r="193" spans="1:12" x14ac:dyDescent="0.25">
      <c r="A193" s="12" t="s">
        <v>19</v>
      </c>
      <c r="B193" s="2" t="s">
        <v>190</v>
      </c>
      <c r="C193" s="3" t="str">
        <f>HYPERLINK("https://transparencia-area-fim.mpce.mp.br/#/consulta/processo/pastadigital/092021000079244","09.2021.00007924-4")</f>
        <v>09.2021.00007924-4</v>
      </c>
      <c r="D193" s="4">
        <v>45758</v>
      </c>
      <c r="E193" s="16" t="str">
        <f>HYPERLINK("https://www8.mpce.mp.br/Empenhos/150001/Objeto/27-2021.pdf","EMPENHO DOS CONDOMÍNIOS DOS MESES DE ABRIL A JUNHO DE 2025 (PROMOTORIAS DE JUSTIÇA DA COMARCA DE EUSÉBIO), CONF. CONTRATO Nº 027/2021.")</f>
        <v>EMPENHO DOS CONDOMÍNIOS DOS MESES DE ABRIL A JUNHO DE 2025 (PROMOTORIAS DE JUSTIÇA DA COMARCA DE EUSÉBIO), CONF. CONTRATO Nº 027/2021.</v>
      </c>
      <c r="F193" s="2" t="s">
        <v>189</v>
      </c>
      <c r="G193" s="5" t="str">
        <f>HYPERLINK("https://siafe.sefaz.ce.gov.br/Siafe/downloadSignature?token=e9dc1f81630549a2bdf13a662161bed6","2025NE000656")</f>
        <v>2025NE000656</v>
      </c>
      <c r="H193" s="6">
        <v>4816.9799999999996</v>
      </c>
      <c r="I193" s="7" t="s">
        <v>43</v>
      </c>
      <c r="J193" s="10" t="s">
        <v>186</v>
      </c>
      <c r="L193" s="13"/>
    </row>
    <row r="194" spans="1:12" x14ac:dyDescent="0.25">
      <c r="A194" s="12" t="s">
        <v>19</v>
      </c>
      <c r="B194" s="2" t="s">
        <v>379</v>
      </c>
      <c r="C194" s="3" t="str">
        <f>HYPERLINK("https://transparencia-area-fim.mpce.mp.br/#/consulta/processo/pastadigital/092020000123310","09.2020.00012331-0")</f>
        <v>09.2020.00012331-0</v>
      </c>
      <c r="D194" s="4">
        <v>45728</v>
      </c>
      <c r="E194" s="16" t="str">
        <f>HYPERLINK("https://www8.mpce.mp.br/Empenhos/150001/Objeto/06-2021.pdf","PAGAMENTO (MENSALIDADE) DO SERVIÇO DE PERIÓDICOS EM NUVENS PARA A REVISTA ACADÊMICA DO MPCE, CONF. CONTRATO Nº 06/2021, REF. AO MÊS DE MARÇO DE 2025.")</f>
        <v>PAGAMENTO (MENSALIDADE) DO SERVIÇO DE PERIÓDICOS EM NUVENS PARA A REVISTA ACADÊMICA DO MPCE, CONF. CONTRATO Nº 06/2021, REF. AO MÊS DE MARÇO DE 2025.</v>
      </c>
      <c r="F194" s="2" t="s">
        <v>332</v>
      </c>
      <c r="G194" s="5" t="str">
        <f>HYPERLINK("https://siafe.sefaz.ce.gov.br/Siafe/downloadSignature?token=2d5a824d53884521b298b5ff884c04fd","2025NE000657")</f>
        <v>2025NE000657</v>
      </c>
      <c r="H194" s="6">
        <v>139</v>
      </c>
      <c r="I194" s="7" t="s">
        <v>85</v>
      </c>
      <c r="J194" s="10" t="s">
        <v>333</v>
      </c>
      <c r="L194" s="13"/>
    </row>
    <row r="195" spans="1:12" x14ac:dyDescent="0.25">
      <c r="A195" s="12" t="s">
        <v>19</v>
      </c>
      <c r="B195" s="2" t="s">
        <v>380</v>
      </c>
      <c r="C195" s="3" t="str">
        <f>HYPERLINK("https://transparencia-area-fim.mpce.mp.br/#/consulta/processo/pastadigital/092021000244582","09.2021.00024458-2")</f>
        <v>09.2021.00024458-2</v>
      </c>
      <c r="D195" s="4">
        <v>45758</v>
      </c>
      <c r="E195" s="16" t="str">
        <f>HYPERLINK("https://www8.mpce.mp.br/Empenhos/150001/Objeto/11-2022.pdf","EMPENHO REF. REEMBOLSO DE IPTU DE IMÓVEL ONDE FUNCIONAM PROMOTORIAS DE JUSTIÇA DA COMARCA DE ARACATI, CONF. CONTRATO 011/2022, REF. 2025 - PARCELA ÚNICA.")</f>
        <v>EMPENHO REF. REEMBOLSO DE IPTU DE IMÓVEL ONDE FUNCIONAM PROMOTORIAS DE JUSTIÇA DA COMARCA DE ARACATI, CONF. CONTRATO 011/2022, REF. 2025 - PARCELA ÚNICA.</v>
      </c>
      <c r="F195" s="2" t="s">
        <v>323</v>
      </c>
      <c r="G195" s="5" t="str">
        <f>HYPERLINK("https://siafe.sefaz.ce.gov.br/Siafe/downloadSignature?token=72cc46e06e994fc0b5e80f28fdc8e606","2025NE000663")</f>
        <v>2025NE000663</v>
      </c>
      <c r="H195" s="6">
        <v>19259.8</v>
      </c>
      <c r="I195" s="7" t="s">
        <v>24</v>
      </c>
      <c r="J195" s="10" t="s">
        <v>146</v>
      </c>
      <c r="L195" s="13"/>
    </row>
    <row r="196" spans="1:12" x14ac:dyDescent="0.25">
      <c r="A196" s="12" t="s">
        <v>159</v>
      </c>
      <c r="B196" s="2" t="s">
        <v>191</v>
      </c>
      <c r="C196" s="3" t="str">
        <f>HYPERLINK("https://transparencia-area-fim.mpce.mp.br/#/consulta/processo/pastadigital/092024000173970","09.2024.00017397-0")</f>
        <v>09.2024.00017397-0</v>
      </c>
      <c r="D196" s="4">
        <v>45757</v>
      </c>
      <c r="E196" s="16" t="str">
        <f>HYPERLINK("https://www8.mpce.mp.br/Empenhos/150001/Objeto/44-2024.pdf","EMPENHO REF. REEMBOLSO DE FATURAS DE ENERGIA ELÉTRICA (ENEL) DE IMÓVEL ONDE FUNCIONAM PROMOTORIAS DE JUSTIÇA DA COMARCA DE ACARAÚ-CE, CONF. CONTRATO 044/2024 E TERMO DE RECONHEC"&amp;"IMENTO DE DÍVIDA 0014/2025/SEFIN, REF. NOV E DEZ/2024. DEA: 2025NP000118.")</f>
        <v>EMPENHO REF. REEMBOLSO DE FATURAS DE ENERGIA ELÉTRICA (ENEL) DE IMÓVEL ONDE FUNCIONAM PROMOTORIAS DE JUSTIÇA DA COMARCA DE ACARAÚ-CE, CONF. CONTRATO 044/2024 E TERMO DE RECONHECIMENTO DE DÍVIDA 0014/2025/SEFIN, REF. NOV E DEZ/2024. DEA: 2025NP000118.</v>
      </c>
      <c r="F196" s="2" t="s">
        <v>367</v>
      </c>
      <c r="G196" s="5" t="str">
        <f>HYPERLINK("https://siafe.sefaz.ce.gov.br/Siafe/downloadSignature?token=35558289e0c64755a5e07898d091921e","2025NE000669")</f>
        <v>2025NE000669</v>
      </c>
      <c r="H196" s="6">
        <v>2450.64</v>
      </c>
      <c r="I196" s="7" t="s">
        <v>48</v>
      </c>
      <c r="J196" s="10" t="s">
        <v>196</v>
      </c>
      <c r="L196" s="13"/>
    </row>
    <row r="197" spans="1:12" x14ac:dyDescent="0.25">
      <c r="A197" s="12" t="s">
        <v>19</v>
      </c>
      <c r="B197" s="2" t="s">
        <v>187</v>
      </c>
      <c r="C197" s="3" t="str">
        <f>HYPERLINK("http://www8.mpce.mp.br/Dispensa/6795020160.pdf","6795020160")</f>
        <v>6795020160</v>
      </c>
      <c r="D197" s="4">
        <v>45757</v>
      </c>
      <c r="E197" s="16" t="str">
        <f>HYPERLINK("https://www8.mpce.mp.br/Empenhos/150001/Objeto/08-2017.pdf","EMPENHO REF. ALUGUEL DE IMÓVEL ONDE FUNCIONAM PROMOTORIAS DE JUSTIÇA DA COMARCA DE JARDIM, CONF. 5º TERMO DE APOSTILAMENTO AO CONTRATO 008/2017, REF. 16 (DEZESSEIS) DIAS PROPORC"&amp;"IONAIS DA COMPETÊNCIA MAR/2025, RETROATIVO.")</f>
        <v>EMPENHO REF. ALUGUEL DE IMÓVEL ONDE FUNCIONAM PROMOTORIAS DE JUSTIÇA DA COMARCA DE JARDIM, CONF. 5º TERMO DE APOSTILAMENTO AO CONTRATO 008/2017, REF. 16 (DEZESSEIS) DIAS PROPORCIONAIS DA COMPETÊNCIA MAR/2025, RETROATIVO.</v>
      </c>
      <c r="F197" s="2" t="s">
        <v>31</v>
      </c>
      <c r="G197" s="5" t="str">
        <f>HYPERLINK("https://siafe.sefaz.ce.gov.br/Siafe/downloadSignature?token=43f5c1930a524114bb138c5d2065a5c6","2025NE000679")</f>
        <v>2025NE000679</v>
      </c>
      <c r="H197" s="6">
        <v>30.61</v>
      </c>
      <c r="I197" s="7" t="s">
        <v>99</v>
      </c>
      <c r="J197" s="10" t="s">
        <v>128</v>
      </c>
      <c r="L197" s="13"/>
    </row>
    <row r="198" spans="1:12" x14ac:dyDescent="0.25">
      <c r="A198" s="12" t="s">
        <v>19</v>
      </c>
      <c r="B198" s="2" t="s">
        <v>381</v>
      </c>
      <c r="C198" s="3" t="str">
        <f>HYPERLINK("https://transparencia-area-fim.mpce.mp.br/#/consulta/processo/pastadigital/092021000157125","09.2021.00015712-5")</f>
        <v>09.2021.00015712-5</v>
      </c>
      <c r="D198" s="4">
        <v>45757</v>
      </c>
      <c r="E198" s="16" t="str">
        <f>HYPERLINK("https://www8.mpce.mp.br/Empenhos/150001/Objeto/32-2021.pdf","EMPENHO REF. SEGURO DE VIDA DOS ESTAGIÁRIOS DO MPCE, CONF. CONTRATO 032/2021, REF. ABR, MAI E JUN/2025, POR ESTIMATIVA.")</f>
        <v>EMPENHO REF. SEGURO DE VIDA DOS ESTAGIÁRIOS DO MPCE, CONF. CONTRATO 032/2021, REF. ABR, MAI E JUN/2025, POR ESTIMATIVA.</v>
      </c>
      <c r="F198" s="2" t="s">
        <v>245</v>
      </c>
      <c r="G198" s="5" t="str">
        <f>HYPERLINK("https://siafe.sefaz.ce.gov.br/Siafe/downloadSignature?token=efaebff937fd42caa69b54a720d705de","2025NE000682")</f>
        <v>2025NE000682</v>
      </c>
      <c r="H198" s="6">
        <v>541.20000000000005</v>
      </c>
      <c r="I198" s="7" t="s">
        <v>58</v>
      </c>
      <c r="J198" s="10" t="s">
        <v>246</v>
      </c>
      <c r="L198" s="13"/>
    </row>
    <row r="199" spans="1:12" x14ac:dyDescent="0.25">
      <c r="A199" s="12" t="s">
        <v>159</v>
      </c>
      <c r="B199" s="2" t="s">
        <v>317</v>
      </c>
      <c r="C199" s="3" t="str">
        <f>HYPERLINK("https://transparencia-area-fim.mpce.mp.br/#/consulta/processo/pastadigital/092025000060127","09.2025.00006012-7")</f>
        <v>09.2025.00006012-7</v>
      </c>
      <c r="D199" s="4">
        <v>45733</v>
      </c>
      <c r="E199" s="16" t="s">
        <v>382</v>
      </c>
      <c r="F199" s="2" t="s">
        <v>221</v>
      </c>
      <c r="G199" s="5" t="str">
        <f>HYPERLINK("https://siafe.sefaz.ce.gov.br/Siafe/downloadSignature?token=7141ae19db264989876ec2e9a5625501","2025NE000685")</f>
        <v>2025NE000685</v>
      </c>
      <c r="H199" s="6">
        <v>6980</v>
      </c>
      <c r="I199" s="7" t="s">
        <v>100</v>
      </c>
      <c r="J199" s="10" t="s">
        <v>383</v>
      </c>
      <c r="L199" s="13"/>
    </row>
    <row r="200" spans="1:12" x14ac:dyDescent="0.25">
      <c r="A200" s="12" t="s">
        <v>19</v>
      </c>
      <c r="B200" s="2" t="s">
        <v>384</v>
      </c>
      <c r="C200" s="3" t="str">
        <f>HYPERLINK("https://transparencia-area-fim.mpce.mp.br/#/consulta/processo/pastadigital/092022000343795","09.2022.00034379-5")</f>
        <v>09.2022.00034379-5</v>
      </c>
      <c r="D200" s="4">
        <v>45758</v>
      </c>
      <c r="E200" s="16" t="str">
        <f>HYPERLINK("https://www8.mpce.mp.br/Empenhos/150001/Objeto/25-2023.pdf","EMPENHO DOS ALUGUÉIS DOS MESES DE ABRIL A JUNHO DE 2025 (PROMOTORIAS DE JUSTIÇA DA COMARCA DE CANINDÉ), CONF. CONTRATO Nº 025/2023.")</f>
        <v>EMPENHO DOS ALUGUÉIS DOS MESES DE ABRIL A JUNHO DE 2025 (PROMOTORIAS DE JUSTIÇA DA COMARCA DE CANINDÉ), CONF. CONTRATO Nº 025/2023.</v>
      </c>
      <c r="F200" s="2" t="s">
        <v>130</v>
      </c>
      <c r="G200" s="5" t="str">
        <f>HYPERLINK("https://siafe.sefaz.ce.gov.br/Siafe/downloadSignature?token=5535c540334749b293ff278fef8859c7","2025NE000692")</f>
        <v>2025NE000692</v>
      </c>
      <c r="H200" s="6">
        <v>44004</v>
      </c>
      <c r="I200" s="7" t="s">
        <v>101</v>
      </c>
      <c r="J200" s="10" t="s">
        <v>131</v>
      </c>
      <c r="L200" s="13"/>
    </row>
    <row r="201" spans="1:12" x14ac:dyDescent="0.25">
      <c r="A201" s="12" t="s">
        <v>19</v>
      </c>
      <c r="B201" s="2" t="s">
        <v>385</v>
      </c>
      <c r="C201" s="3" t="str">
        <f>HYPERLINK("https://transparencia-area-fim.mpce.mp.br/#/consulta/processo/pastadigital/092022000343840","09.2022.00034384-0")</f>
        <v>09.2022.00034384-0</v>
      </c>
      <c r="D201" s="4">
        <v>45758</v>
      </c>
      <c r="E201" s="16" t="str">
        <f>HYPERLINK("https://www8.mpce.mp.br/Empenhos/150001/Objeto/11-2023.pdf","EMPENHO DOS ALUGUÉIS DOS MESES DE ABRIL A JUNHO DE 2025 (PROMOTORIAS DE JUSTIÇA DA COMARCA DE SANTA QUITÉRIA), CONF. CONTRATO Nº 011/2023.")</f>
        <v>EMPENHO DOS ALUGUÉIS DOS MESES DE ABRIL A JUNHO DE 2025 (PROMOTORIAS DE JUSTIÇA DA COMARCA DE SANTA QUITÉRIA), CONF. CONTRATO Nº 011/2023.</v>
      </c>
      <c r="F201" s="2" t="s">
        <v>130</v>
      </c>
      <c r="G201" s="5" t="str">
        <f>HYPERLINK("https://siafe.sefaz.ce.gov.br/Siafe/downloadSignature?token=c5a67f2bb7f64326beb21ee1c0ade0d7","2025NE000693")</f>
        <v>2025NE000693</v>
      </c>
      <c r="H201" s="6">
        <v>39600</v>
      </c>
      <c r="I201" s="7" t="s">
        <v>55</v>
      </c>
      <c r="J201" s="10" t="s">
        <v>232</v>
      </c>
      <c r="L201" s="13"/>
    </row>
    <row r="202" spans="1:12" x14ac:dyDescent="0.25">
      <c r="A202" s="12" t="s">
        <v>19</v>
      </c>
      <c r="B202" s="2" t="s">
        <v>386</v>
      </c>
      <c r="C202" s="3" t="str">
        <f>HYPERLINK("https://transparencia-area-fim.mpce.mp.br/#/consulta/processo/pastadigital/092022000343818","09.2022.00034381-8")</f>
        <v>09.2022.00034381-8</v>
      </c>
      <c r="D202" s="4">
        <v>45758</v>
      </c>
      <c r="E202" s="16" t="str">
        <f>HYPERLINK("https://www8.mpce.mp.br/Empenhos/150001/Objeto/24-2023.pdf","EMPENHO DOS ALUGUÉIS DOS MESES DE ABRIL A JUNHO DE 2025 (PROMOTORIAS DE JUSTIÇA DA COMARCA DE ITAPIPOCA), CONF. CONTRATO Nº 024/2023.")</f>
        <v>EMPENHO DOS ALUGUÉIS DOS MESES DE ABRIL A JUNHO DE 2025 (PROMOTORIAS DE JUSTIÇA DA COMARCA DE ITAPIPOCA), CONF. CONTRATO Nº 024/2023.</v>
      </c>
      <c r="F202" s="2" t="s">
        <v>130</v>
      </c>
      <c r="G202" s="5" t="str">
        <f>HYPERLINK("https://siafe.sefaz.ce.gov.br/Siafe/downloadSignature?token=b0959a296b67422a910a0e5234b48837","2025NE000694")</f>
        <v>2025NE000694</v>
      </c>
      <c r="H202" s="6">
        <v>56631.42</v>
      </c>
      <c r="I202" s="7" t="s">
        <v>79</v>
      </c>
      <c r="J202" s="10" t="s">
        <v>133</v>
      </c>
      <c r="L202" s="13"/>
    </row>
    <row r="203" spans="1:12" x14ac:dyDescent="0.25">
      <c r="A203" s="12" t="s">
        <v>19</v>
      </c>
      <c r="B203" s="2" t="s">
        <v>387</v>
      </c>
      <c r="C203" s="3" t="str">
        <f>HYPERLINK("https://transparencia-area-fim.mpce.mp.br/#/consulta/processo/pastadigital/092022000343829","09.2022.00034382-9")</f>
        <v>09.2022.00034382-9</v>
      </c>
      <c r="D203" s="4">
        <v>45758</v>
      </c>
      <c r="E203" s="16" t="str">
        <f>HYPERLINK("https://www8.mpce.mp.br/Empenhos/150001/Objeto/10-2023.pdf","EMPENHO DOS ALUGUÉIS DOS MESES DE ABRIL A JUNHO DE 2025 ( PROMOTORIAS DE JUSTIÇA DA COMARCA DE ITAPAJÉ), CONF. CONTRATO Nº 010/2023.")</f>
        <v>EMPENHO DOS ALUGUÉIS DOS MESES DE ABRIL A JUNHO DE 2025 ( PROMOTORIAS DE JUSTIÇA DA COMARCA DE ITAPAJÉ), CONF. CONTRATO Nº 010/2023.</v>
      </c>
      <c r="F203" s="2" t="s">
        <v>130</v>
      </c>
      <c r="G203" s="5" t="str">
        <f>HYPERLINK("https://siafe.sefaz.ce.gov.br/Siafe/downloadSignature?token=7851a6fd84004053a83d4762ba2d790c","2025NE000695")</f>
        <v>2025NE000695</v>
      </c>
      <c r="H203" s="6">
        <v>40836</v>
      </c>
      <c r="I203" s="7" t="s">
        <v>23</v>
      </c>
      <c r="J203" s="10" t="s">
        <v>135</v>
      </c>
      <c r="L203" s="13"/>
    </row>
    <row r="204" spans="1:12" x14ac:dyDescent="0.25">
      <c r="A204" s="12" t="s">
        <v>19</v>
      </c>
      <c r="B204" s="2" t="s">
        <v>388</v>
      </c>
      <c r="C204" s="3" t="str">
        <f>HYPERLINK("https://transparencia-area-fim.mpce.mp.br/#/consulta/processo/pastadigital/092022000343751","09.2022.00034375-1")</f>
        <v>09.2022.00034375-1</v>
      </c>
      <c r="D204" s="4">
        <v>45758</v>
      </c>
      <c r="E204" s="16" t="str">
        <f>HYPERLINK("https://www8.mpce.mp.br/Empenhos/150001/Objeto/08-2023.pdf","EMPENHO DOS ALUGUÉIS DOS MESES DE ABRIL A JUNHO DE 2025 (PROMOTORIAS DE JUSTIÇA DA COMARCA DE QUIXERAMOBIM), CONF. CONTRATO Nº 008/2023. ")</f>
        <v xml:space="preserve">EMPENHO DOS ALUGUÉIS DOS MESES DE ABRIL A JUNHO DE 2025 (PROMOTORIAS DE JUSTIÇA DA COMARCA DE QUIXERAMOBIM), CONF. CONTRATO Nº 008/2023. </v>
      </c>
      <c r="F204" s="2" t="s">
        <v>130</v>
      </c>
      <c r="G204" s="5" t="str">
        <f>HYPERLINK("https://siafe.sefaz.ce.gov.br/Siafe/downloadSignature?token=81527d7453a34fe19a3867ba0742b843","2025NE000696")</f>
        <v>2025NE000696</v>
      </c>
      <c r="H204" s="6">
        <v>42540</v>
      </c>
      <c r="I204" s="7" t="s">
        <v>23</v>
      </c>
      <c r="J204" s="10" t="s">
        <v>135</v>
      </c>
      <c r="L204" s="13"/>
    </row>
    <row r="205" spans="1:12" x14ac:dyDescent="0.25">
      <c r="A205" s="12" t="s">
        <v>159</v>
      </c>
      <c r="B205" s="2" t="s">
        <v>389</v>
      </c>
      <c r="C205" s="3" t="str">
        <f>HYPERLINK("https://transparencia-area-fim.mpce.mp.br/#/consulta/processo/pastadigital/092024000173970","09.2024.00017397-0")</f>
        <v>09.2024.00017397-0</v>
      </c>
      <c r="D205" s="4">
        <v>45758</v>
      </c>
      <c r="E205" s="16" t="str">
        <f>HYPERLINK("https://www8.mpce.mp.br/Empenhos/150001/Objeto/44-2024.pdf","EMPENHO DOS ALUGUÉIS DOS MESES DE ABRIL A JUNHO DE 2025 (PROMOTORIAS DE JUSTIÇA DA COMARCA DE ACARAÚ), CONF. CONTRATO Nº 044/2024.")</f>
        <v>EMPENHO DOS ALUGUÉIS DOS MESES DE ABRIL A JUNHO DE 2025 (PROMOTORIAS DE JUSTIÇA DA COMARCA DE ACARAÚ), CONF. CONTRATO Nº 044/2024.</v>
      </c>
      <c r="F205" s="2" t="s">
        <v>130</v>
      </c>
      <c r="G205" s="5" t="str">
        <f>HYPERLINK("https://siafe.sefaz.ce.gov.br/Siafe/downloadSignature?token=c09ee3c0523a4aea81e0638f90c1482a","2025NE000697")</f>
        <v>2025NE000697</v>
      </c>
      <c r="H205" s="6">
        <v>10211.64</v>
      </c>
      <c r="I205" s="7" t="s">
        <v>48</v>
      </c>
      <c r="J205" s="10" t="s">
        <v>196</v>
      </c>
      <c r="L205" s="13"/>
    </row>
    <row r="206" spans="1:12" x14ac:dyDescent="0.25">
      <c r="A206" s="12" t="s">
        <v>19</v>
      </c>
      <c r="B206" s="2" t="s">
        <v>390</v>
      </c>
      <c r="C206" s="3" t="str">
        <f>HYPERLINK("https://transparencia-area-fim.mpce.mp.br/#/consulta/processo/pastadigital/092021000079244","09.2021.00007924-4")</f>
        <v>09.2021.00007924-4</v>
      </c>
      <c r="D206" s="4">
        <v>45758</v>
      </c>
      <c r="E206" s="16" t="str">
        <f>HYPERLINK("https://www8.mpce.mp.br/Empenhos/150001/Objeto/27-2021.pdf","EMPENHO DOS ALUGUÉIS DOS MESES DE ABRIL A JUNHO DE 2025 (PROMOTORIAS DE JUSTIÇA DA COMARCA DE EUSÉBIO), CONF. CONTRATO Nº 027/2021.")</f>
        <v>EMPENHO DOS ALUGUÉIS DOS MESES DE ABRIL A JUNHO DE 2025 (PROMOTORIAS DE JUSTIÇA DA COMARCA DE EUSÉBIO), CONF. CONTRATO Nº 027/2021.</v>
      </c>
      <c r="F206" s="2" t="s">
        <v>130</v>
      </c>
      <c r="G206" s="5" t="str">
        <f>HYPERLINK("https://siafe.sefaz.ce.gov.br/Siafe/downloadSignature?token=deccdba306914d8f80d6bd004280aaa8","2025NE000698")</f>
        <v>2025NE000698</v>
      </c>
      <c r="H206" s="6">
        <v>16638.3</v>
      </c>
      <c r="I206" s="7" t="s">
        <v>43</v>
      </c>
      <c r="J206" s="10" t="s">
        <v>186</v>
      </c>
      <c r="L206" s="13"/>
    </row>
    <row r="207" spans="1:12" x14ac:dyDescent="0.25">
      <c r="A207" s="12" t="s">
        <v>159</v>
      </c>
      <c r="B207" s="2" t="s">
        <v>391</v>
      </c>
      <c r="C207" s="3" t="str">
        <f>HYPERLINK("https://transparencia-area-fim.mpce.mp.br/#/consulta/processo/pastadigital/092024000189230","09.2024.00018923-0")</f>
        <v>09.2024.00018923-0</v>
      </c>
      <c r="D207" s="4">
        <v>45748</v>
      </c>
      <c r="E207" s="16" t="str">
        <f>HYPERLINK("https://www8.mpce.mp.br/Empenhos/150001/Objeto/99-2024.pdf","EMPENHO REF. SERVIÇO DE FORNECIMENTO DE ENERGIA ELÉTRICA, EM ALTA TENSÃO, POR INEXIGIBILIDADE DE LICITAÇÃO, CONF. CONTRATO 099/2024, REF. ABR, MAI E JUN/2025, POR ESTIMATIVA.")</f>
        <v>EMPENHO REF. SERVIÇO DE FORNECIMENTO DE ENERGIA ELÉTRICA, EM ALTA TENSÃO, POR INEXIGIBILIDADE DE LICITAÇÃO, CONF. CONTRATO 099/2024, REF. ABR, MAI E JUN/2025, POR ESTIMATIVA.</v>
      </c>
      <c r="F207" s="2" t="s">
        <v>309</v>
      </c>
      <c r="G207" s="5" t="str">
        <f>HYPERLINK("https://siafe.sefaz.ce.gov.br/Siafe/downloadSignature?token=257d9d36e583411c8db6fb9283b5daca","2025NE000699")</f>
        <v>2025NE000699</v>
      </c>
      <c r="H207" s="6">
        <v>40500</v>
      </c>
      <c r="I207" s="7" t="s">
        <v>310</v>
      </c>
      <c r="J207" s="10" t="s">
        <v>311</v>
      </c>
      <c r="L207" s="13"/>
    </row>
    <row r="208" spans="1:12" x14ac:dyDescent="0.25">
      <c r="A208" s="12" t="s">
        <v>19</v>
      </c>
      <c r="B208" s="2" t="s">
        <v>380</v>
      </c>
      <c r="C208" s="3" t="str">
        <f>HYPERLINK("https://transparencia-area-fim.mpce.mp.br/#/consulta/processo/pastadigital/092022000081432","09.2022.00008143-2")</f>
        <v>09.2022.00008143-2</v>
      </c>
      <c r="D208" s="4">
        <v>45758</v>
      </c>
      <c r="E208" s="16" t="str">
        <f>HYPERLINK("https://www8.mpce.mp.br/Empenhos/150001/Objeto/16-2022.pdf","EMPENHO REF. ALUGUEL DE IMÓVEL ONDE FUNCIONAM AS PROMOTORIAS DE JUSTIÇA DA COMARCA DE BARBALHA, CONF. CONTRATO 016/2022, REF. ABR, MAI E JUN/2025, POR ESTIMATIVA.")</f>
        <v>EMPENHO REF. ALUGUEL DE IMÓVEL ONDE FUNCIONAM AS PROMOTORIAS DE JUSTIÇA DA COMARCA DE BARBALHA, CONF. CONTRATO 016/2022, REF. ABR, MAI E JUN/2025, POR ESTIMATIVA.</v>
      </c>
      <c r="F208" s="2" t="s">
        <v>130</v>
      </c>
      <c r="G208" s="5" t="str">
        <f>HYPERLINK("https://siafe.sefaz.ce.gov.br/Siafe/downloadSignature?token=43680976239b45c8b9f54ade9f00261e","2025NE000700")</f>
        <v>2025NE000700</v>
      </c>
      <c r="H208" s="6">
        <v>49302.78</v>
      </c>
      <c r="I208" s="7" t="s">
        <v>20</v>
      </c>
      <c r="J208" s="10" t="s">
        <v>138</v>
      </c>
      <c r="L208" s="13"/>
    </row>
    <row r="209" spans="1:12" x14ac:dyDescent="0.25">
      <c r="A209" s="12" t="s">
        <v>19</v>
      </c>
      <c r="B209" s="2" t="s">
        <v>187</v>
      </c>
      <c r="C209" s="3" t="str">
        <f>HYPERLINK("https://transparencia-area-fim.mpce.mp.br/#/consulta/processo/pastadigital/092021000121226","09.2021.00012122-6")</f>
        <v>09.2021.00012122-6</v>
      </c>
      <c r="D209" s="4">
        <v>45758</v>
      </c>
      <c r="E209" s="16" t="str">
        <f>HYPERLINK("https://www8.mpce.mp.br/Empenhos/150001/Objeto/34-2021.pdf","EMPENHO REF. ALUGUEL DE IMÓVEL ONDE FUNCIONAM AS PROMOTORIAS DE JUSTIÇA DA COMARCA DE BARBALHA, CONF. CONTRATO 016/2022, REF. ABR, MAI E JUN/2025, POR ESTIMATIVA.")</f>
        <v>EMPENHO REF. ALUGUEL DE IMÓVEL ONDE FUNCIONAM AS PROMOTORIAS DE JUSTIÇA DA COMARCA DE BARBALHA, CONF. CONTRATO 016/2022, REF. ABR, MAI E JUN/2025, POR ESTIMATIVA.</v>
      </c>
      <c r="F209" s="2" t="s">
        <v>31</v>
      </c>
      <c r="G209" s="5" t="str">
        <f>HYPERLINK("https://siafe.sefaz.ce.gov.br/Siafe/downloadSignature?token=0e17724f01ba4590a8b30daad0c85199","2025NE000703")</f>
        <v>2025NE000703</v>
      </c>
      <c r="H209" s="6">
        <v>8469.81</v>
      </c>
      <c r="I209" s="7" t="s">
        <v>38</v>
      </c>
      <c r="J209" s="10" t="s">
        <v>176</v>
      </c>
      <c r="L209" s="13"/>
    </row>
    <row r="210" spans="1:12" x14ac:dyDescent="0.25">
      <c r="A210" s="12" t="s">
        <v>19</v>
      </c>
      <c r="B210" s="2" t="s">
        <v>187</v>
      </c>
      <c r="C210" s="3" t="str">
        <f>HYPERLINK("http://www8.mpce.mp.br/Dispensa/1984020196.pdf","19840/2019-6")</f>
        <v>19840/2019-6</v>
      </c>
      <c r="D210" s="4">
        <v>45758</v>
      </c>
      <c r="E210" s="16" t="str">
        <f>HYPERLINK("https://www8.mpce.mp.br/Empenhos/150001/Objeto/48-2019.pdf","EMPENHO REF. ALUGUEL DO IMÓVEL ONDE FUNCIONAM PROMOTORIAS DE JUSTIÇA DA COMARCA DE CAUCAIA, CONF. CONTRATO 048/2019, REF. ABR, MAI E JUN/2025, POR ESTIMATIVA.")</f>
        <v>EMPENHO REF. ALUGUEL DO IMÓVEL ONDE FUNCIONAM PROMOTORIAS DE JUSTIÇA DA COMARCA DE CAUCAIA, CONF. CONTRATO 048/2019, REF. ABR, MAI E JUN/2025, POR ESTIMATIVA.</v>
      </c>
      <c r="F210" s="2" t="s">
        <v>130</v>
      </c>
      <c r="G210" s="5" t="str">
        <f>HYPERLINK("https://siafe.sefaz.ce.gov.br/Siafe/downloadSignature?token=b6c79c9861144d84ae74318655f934f9","2025NE000704")</f>
        <v>2025NE000704</v>
      </c>
      <c r="H210" s="6">
        <v>141759.39000000001</v>
      </c>
      <c r="I210" s="7" t="s">
        <v>27</v>
      </c>
      <c r="J210" s="10" t="s">
        <v>154</v>
      </c>
      <c r="L210" s="13"/>
    </row>
    <row r="211" spans="1:12" x14ac:dyDescent="0.25">
      <c r="A211" s="12" t="s">
        <v>19</v>
      </c>
      <c r="B211" s="2" t="s">
        <v>187</v>
      </c>
      <c r="C211" s="3" t="str">
        <f>HYPERLINK("https://transparencia-area-fim.mpce.mp.br/#/consulta/processo/pastadigital/092022000230870","09.2022.00023087-0")</f>
        <v>09.2022.00023087-0</v>
      </c>
      <c r="D211" s="4">
        <v>45761</v>
      </c>
      <c r="E211" s="16" t="str">
        <f>HYPERLINK("https://www8.mpce.mp.br/Empenhos/150001/Objeto/29-2022.pdf","EMPENHO REF. ALUGUEL DE IMÓVEL ONDE FUNCIONAM PROMOTORIAS DE JUSTIÇA DA COMARCA DE JUAZEIRO DO NORTE, CONF. CONTRATO 029/2022, REF. ABR, MAI E JUN/2025, POR ESTIMATIVA.")</f>
        <v>EMPENHO REF. ALUGUEL DE IMÓVEL ONDE FUNCIONAM PROMOTORIAS DE JUSTIÇA DA COMARCA DE JUAZEIRO DO NORTE, CONF. CONTRATO 029/2022, REF. ABR, MAI E JUN/2025, POR ESTIMATIVA.</v>
      </c>
      <c r="F211" s="2" t="s">
        <v>130</v>
      </c>
      <c r="G211" s="5" t="str">
        <f>HYPERLINK("https://siafe.sefaz.ce.gov.br/Siafe/downloadSignature?token=3225f8a747504b158c60fa7add50e911","2025NE000705")</f>
        <v>2025NE000705</v>
      </c>
      <c r="H211" s="6">
        <v>206051.22</v>
      </c>
      <c r="I211" s="7" t="s">
        <v>20</v>
      </c>
      <c r="J211" s="10" t="s">
        <v>138</v>
      </c>
    </row>
    <row r="212" spans="1:12" x14ac:dyDescent="0.25">
      <c r="A212" s="12" t="s">
        <v>19</v>
      </c>
      <c r="B212" s="2" t="s">
        <v>331</v>
      </c>
      <c r="C212" s="3" t="str">
        <f>HYPERLINK("https://transparencia-area-fim.mpce.mp.br/#/consulta/processo/pastadigital/092022000120475","09.2022.00012047-5")</f>
        <v>09.2022.00012047-5</v>
      </c>
      <c r="D212" s="4">
        <v>45734</v>
      </c>
      <c r="E212" s="16" t="str">
        <f>HYPERLINK("https://www8.mpce.mp.br/Empenhos/150001/Objeto/54-2022.pdf","EMPENHO REF. SERVIÇOS DE CONSULTA DE DADOS CADASTRAIS DE ÂMBITO NACIONAL, VIA WEB SERVICE, CONF. CONTRATO 054/2022 - 2º TERMO DE APOSTILAMENTO, REF. 2025, POR ESTIMATIVA.")</f>
        <v>EMPENHO REF. SERVIÇOS DE CONSULTA DE DADOS CADASTRAIS DE ÂMBITO NACIONAL, VIA WEB SERVICE, CONF. CONTRATO 054/2022 - 2º TERMO DE APOSTILAMENTO, REF. 2025, POR ESTIMATIVA.</v>
      </c>
      <c r="F212" s="2" t="s">
        <v>392</v>
      </c>
      <c r="G212" s="5" t="str">
        <f>HYPERLINK("https://siafe.sefaz.ce.gov.br/Siafe/downloadSignature?token=fba43cbbf60344ce91baf874f6e3634f","2025NE000705")</f>
        <v>2025NE000705</v>
      </c>
      <c r="H212" s="6">
        <v>859.26</v>
      </c>
      <c r="I212" s="7" t="s">
        <v>357</v>
      </c>
      <c r="J212" s="10" t="s">
        <v>358</v>
      </c>
      <c r="L212" s="13"/>
    </row>
    <row r="213" spans="1:12" x14ac:dyDescent="0.25">
      <c r="A213" s="12" t="s">
        <v>19</v>
      </c>
      <c r="B213" s="2" t="s">
        <v>187</v>
      </c>
      <c r="C213" s="3" t="str">
        <f>HYPERLINK("https://transparencia-area-fim.mpce.mp.br/#/consulta/processo/pastadigital/092021000244282","09.2021.00024428-2")</f>
        <v>09.2021.00024428-2</v>
      </c>
      <c r="D213" s="4">
        <v>45758</v>
      </c>
      <c r="E213" s="16" t="str">
        <f>HYPERLINK("https://www8.mpce.mp.br/Empenhos/150001/Objeto/18-2022.pdf","EMPENHO REF. ALUGUEL DE IMÓVEL ONDE FUNCIONAM PROMOTORIAS DE JUSTIÇA DA COMARCA DE CRATEÚS, CONF. CONTRATO 018/2022, REF. ABR, MAI E JUN/2025, POR ESTIMATIVA.")</f>
        <v>EMPENHO REF. ALUGUEL DE IMÓVEL ONDE FUNCIONAM PROMOTORIAS DE JUSTIÇA DA COMARCA DE CRATEÚS, CONF. CONTRATO 018/2022, REF. ABR, MAI E JUN/2025, POR ESTIMATIVA.</v>
      </c>
      <c r="F213" s="2" t="s">
        <v>130</v>
      </c>
      <c r="G213" s="5" t="str">
        <f>HYPERLINK("https://siafe.sefaz.ce.gov.br/Siafe/downloadSignature?token=5eb7721c5a464e8d9cb97088800f5f61","2025NE000706")</f>
        <v>2025NE000706</v>
      </c>
      <c r="H213" s="6">
        <v>78000.3</v>
      </c>
      <c r="I213" s="7" t="s">
        <v>21</v>
      </c>
      <c r="J213" s="10" t="s">
        <v>140</v>
      </c>
      <c r="L213" s="13"/>
    </row>
    <row r="214" spans="1:12" x14ac:dyDescent="0.25">
      <c r="A214" s="12" t="s">
        <v>19</v>
      </c>
      <c r="B214" s="2" t="s">
        <v>380</v>
      </c>
      <c r="C214" s="3" t="str">
        <f>HYPERLINK("https://transparencia-area-fim.mpce.mp.br/#/consulta/processo/pastadigital/092021000244449","09.2021.00024444-9")</f>
        <v>09.2021.00024444-9</v>
      </c>
      <c r="D214" s="4">
        <v>45761</v>
      </c>
      <c r="E214" s="16" t="str">
        <f>HYPERLINK("https://www8.mpce.mp.br/Empenhos/150001/Objeto/12-2022.pdf","EMPENHO REF. ALUGUEL DE IMÓVEL ONDE FUNCIONAM PROMOTORIAS DE JUSTIÇA DA COMARCA DE RUSSAS, CONF. CONTRATO 012/2022, REF. ABR, MAI E JUN/2025, POR ESTIMATIVA.")</f>
        <v>EMPENHO REF. ALUGUEL DE IMÓVEL ONDE FUNCIONAM PROMOTORIAS DE JUSTIÇA DA COMARCA DE RUSSAS, CONF. CONTRATO 012/2022, REF. ABR, MAI E JUN/2025, POR ESTIMATIVA.</v>
      </c>
      <c r="F214" s="2" t="s">
        <v>130</v>
      </c>
      <c r="G214" s="5" t="str">
        <f>HYPERLINK("https://siafe.sefaz.ce.gov.br/Siafe/downloadSignature?token=b65c627a8e3341749c99f61dc5d0ed4b","2025NE000707")</f>
        <v>2025NE000707</v>
      </c>
      <c r="H214" s="6">
        <v>62700</v>
      </c>
      <c r="I214" s="7" t="s">
        <v>23</v>
      </c>
      <c r="J214" s="10" t="s">
        <v>135</v>
      </c>
      <c r="L214" s="13"/>
    </row>
    <row r="215" spans="1:12" x14ac:dyDescent="0.25">
      <c r="A215" s="12" t="s">
        <v>19</v>
      </c>
      <c r="B215" s="2" t="s">
        <v>187</v>
      </c>
      <c r="C215" s="3" t="str">
        <f>HYPERLINK("https://transparencia-area-fim.mpce.mp.br/#/consulta/processo/pastadigital/092021000244550","09.2021.00024455-0")</f>
        <v>09.2021.00024455-0</v>
      </c>
      <c r="D215" s="4">
        <v>45761</v>
      </c>
      <c r="E215" s="16" t="str">
        <f>HYPERLINK("https://www8.mpce.mp.br/Empenhos/150001/Objeto/10-2022.pdf","EMPENHO REF. ALUGUEL DE IMÓVEL ONDE FUNCIONA SEDE DE PROMOTORIAS DE JUSTIÇA DA COMARCA DE ICÓ, CONF. CONTRATO 010/2022, REF. ABR, MAI E JUN/2025, POR ESTIMATIVA.")</f>
        <v>EMPENHO REF. ALUGUEL DE IMÓVEL ONDE FUNCIONA SEDE DE PROMOTORIAS DE JUSTIÇA DA COMARCA DE ICÓ, CONF. CONTRATO 010/2022, REF. ABR, MAI E JUN/2025, POR ESTIMATIVA.</v>
      </c>
      <c r="F215" s="2" t="s">
        <v>130</v>
      </c>
      <c r="G215" s="5" t="str">
        <f>HYPERLINK("https://siafe.sefaz.ce.gov.br/Siafe/downloadSignature?token=09dbc5f2e8264a8ab7cd99db0305c40c","2025NE000709")</f>
        <v>2025NE000709</v>
      </c>
      <c r="H215" s="6">
        <v>40459.5</v>
      </c>
      <c r="I215" s="7" t="s">
        <v>25</v>
      </c>
      <c r="J215" s="10" t="s">
        <v>148</v>
      </c>
      <c r="L215" s="13"/>
    </row>
    <row r="216" spans="1:12" x14ac:dyDescent="0.25">
      <c r="A216" s="12" t="s">
        <v>19</v>
      </c>
      <c r="B216" s="2" t="s">
        <v>380</v>
      </c>
      <c r="C216" s="3" t="str">
        <f>HYPERLINK("https://transparencia-area-fim.mpce.mp.br/#/consulta/processo/pastadigital/092021000064195","09.2021.00006419-5")</f>
        <v>09.2021.00006419-5</v>
      </c>
      <c r="D216" s="4">
        <v>45761</v>
      </c>
      <c r="E216" s="16" t="str">
        <f>HYPERLINK("https://www8.mpce.mp.br/Empenhos/150001/Objeto/41-2021.pdf","EMPENHO REF. ALUGUEL DE IMÓVEL ONDE FUNCIONAM AS PROMOTORIAS DE JUSTIÇA DA COMARCA DE QUIXADÁ, CONF. CONTRATO 041/2021, REF. ABR, MAI E JUN/2025, POR ESTIMATIVA.")</f>
        <v>EMPENHO REF. ALUGUEL DE IMÓVEL ONDE FUNCIONAM AS PROMOTORIAS DE JUSTIÇA DA COMARCA DE QUIXADÁ, CONF. CONTRATO 041/2021, REF. ABR, MAI E JUN/2025, POR ESTIMATIVA.</v>
      </c>
      <c r="F216" s="2" t="s">
        <v>130</v>
      </c>
      <c r="G216" s="5" t="str">
        <f>HYPERLINK("https://siafe.sefaz.ce.gov.br/Siafe/downloadSignature?token=dd5a332cf9ad48b4af0b260e6ae8a7be","2025NE000711")</f>
        <v>2025NE000711</v>
      </c>
      <c r="H216" s="6">
        <v>56700</v>
      </c>
      <c r="I216" s="7" t="s">
        <v>23</v>
      </c>
      <c r="J216" s="10" t="s">
        <v>135</v>
      </c>
      <c r="L216" s="13"/>
    </row>
    <row r="217" spans="1:12" x14ac:dyDescent="0.25">
      <c r="A217" s="12" t="s">
        <v>19</v>
      </c>
      <c r="B217" s="2" t="s">
        <v>187</v>
      </c>
      <c r="C217" s="3" t="str">
        <f>HYPERLINK("https://transparencia-area-fim.mpce.mp.br/#/consulta/processo/pastadigital/092021000063220","09.2021.00006322-0")</f>
        <v>09.2021.00006322-0</v>
      </c>
      <c r="D217" s="4">
        <v>45761</v>
      </c>
      <c r="E217" s="16" t="str">
        <f>HYPERLINK("https://www8.mpce.mp.br/Empenhos/150001/Objeto/33-2021.pdf","EMPENHO REF. ALUGUEL DE IMÓVEL ONDE FUNCIONA SEDE DE PROMOTORIAS DE JUSTIÇA DA COMARCA DE SOBRAL, CONF. CONTRATO 033/2021, REF. ABR, MAI E JUN/2025, POR ESTIMATIVA.")</f>
        <v>EMPENHO REF. ALUGUEL DE IMÓVEL ONDE FUNCIONA SEDE DE PROMOTORIAS DE JUSTIÇA DA COMARCA DE SOBRAL, CONF. CONTRATO 033/2021, REF. ABR, MAI E JUN/2025, POR ESTIMATIVA.</v>
      </c>
      <c r="F217" s="2" t="s">
        <v>130</v>
      </c>
      <c r="G217" s="5" t="str">
        <f>HYPERLINK("https://siafe.sefaz.ce.gov.br/Siafe/downloadSignature?token=c64107a47aca4e3bb25088fc837c3781","2025NE000712")</f>
        <v>2025NE000712</v>
      </c>
      <c r="H217" s="6">
        <v>100200.33</v>
      </c>
      <c r="I217" s="7" t="s">
        <v>21</v>
      </c>
      <c r="J217" s="10" t="s">
        <v>140</v>
      </c>
      <c r="L217" s="13"/>
    </row>
    <row r="218" spans="1:12" x14ac:dyDescent="0.25">
      <c r="A218" s="12" t="s">
        <v>19</v>
      </c>
      <c r="B218" s="2" t="s">
        <v>393</v>
      </c>
      <c r="C218" s="3" t="str">
        <f>HYPERLINK("http://www8.mpce.mp.br/Dispensa/575920103.pdf","5759/2010-3")</f>
        <v>5759/2010-3</v>
      </c>
      <c r="D218" s="4">
        <v>45761</v>
      </c>
      <c r="E218" s="16" t="str">
        <f>HYPERLINK("https://www8.mpce.mp.br/Empenhos/150001/Objeto/22-2010.pdf","EMPENHO DOS ALUGUÉIS DOS MESES DE ABRIL A JUNHO DE 2025 (PROMOTORIAS DE JUSTIÇA DA COMARCA DE GUAIÚBA), CONF. CONTRATO Nº 022/2010, POR ESTIMATIVA.")</f>
        <v>EMPENHO DOS ALUGUÉIS DOS MESES DE ABRIL A JUNHO DE 2025 (PROMOTORIAS DE JUSTIÇA DA COMARCA DE GUAIÚBA), CONF. CONTRATO Nº 022/2010, POR ESTIMATIVA.</v>
      </c>
      <c r="F218" s="2" t="s">
        <v>31</v>
      </c>
      <c r="G218" s="5" t="str">
        <f>HYPERLINK("https://siafe.sefaz.ce.gov.br/Siafe/downloadSignature?token=a1b8258c3cf941909cb9e55e02039c4e","2025NE000714")</f>
        <v>2025NE000714</v>
      </c>
      <c r="H218" s="6">
        <v>7025.91</v>
      </c>
      <c r="I218" s="7" t="s">
        <v>86</v>
      </c>
      <c r="J218" s="10" t="s">
        <v>87</v>
      </c>
    </row>
    <row r="219" spans="1:12" x14ac:dyDescent="0.25">
      <c r="A219" s="12" t="s">
        <v>19</v>
      </c>
      <c r="B219" s="2" t="s">
        <v>200</v>
      </c>
      <c r="C219" s="3" t="str">
        <f>HYPERLINK("https://transparencia-area-fim.mpce.mp.br/#/consulta/processo/pastadigital/092024000290399","09.2024.00029039-9")</f>
        <v>09.2024.00029039-9</v>
      </c>
      <c r="D219" s="4">
        <v>45734</v>
      </c>
      <c r="E219" s="16" t="s">
        <v>394</v>
      </c>
      <c r="F219" s="2" t="s">
        <v>395</v>
      </c>
      <c r="G219" s="5" t="str">
        <f>HYPERLINK("https://siafe.sefaz.ce.gov.br/Siafe/downloadSignature?token=c5cca58f28dd40e8b450b15bf3ccbbb4","2025NE000715")</f>
        <v>2025NE000715</v>
      </c>
      <c r="H219" s="6">
        <v>6700</v>
      </c>
      <c r="I219" s="7" t="s">
        <v>396</v>
      </c>
      <c r="J219" s="10" t="s">
        <v>397</v>
      </c>
      <c r="L219" s="13"/>
    </row>
    <row r="220" spans="1:12" x14ac:dyDescent="0.25">
      <c r="A220" s="12" t="s">
        <v>19</v>
      </c>
      <c r="B220" s="2" t="s">
        <v>187</v>
      </c>
      <c r="C220" s="3" t="str">
        <f>HYPERLINK("https://transparencia-area-fim.mpce.mp.br/#/consulta/processo/pastadigital/092021000155016","09.2021.00015501-6")</f>
        <v>09.2021.00015501-6</v>
      </c>
      <c r="D220" s="4">
        <v>45761</v>
      </c>
      <c r="E220" s="16" t="str">
        <f>HYPERLINK("https://www8.mpce.mp.br/Empenhos/150001/Objeto/26-2021.pdf","EMPENHO REF. ALUGUEL DE IMÓVEL ONDE FUNCIONAM PROMOTORIAS DE JUSTIÇA DA COMARCA DE BREJO SANTO, CONF. CONTRATO 026/2021, REF. ABR, MAI E JUN/2025, POR ESTIMATIVA.")</f>
        <v>EMPENHO REF. ALUGUEL DE IMÓVEL ONDE FUNCIONAM PROMOTORIAS DE JUSTIÇA DA COMARCA DE BREJO SANTO, CONF. CONTRATO 026/2021, REF. ABR, MAI E JUN/2025, POR ESTIMATIVA.</v>
      </c>
      <c r="F220" s="2" t="s">
        <v>31</v>
      </c>
      <c r="G220" s="5" t="str">
        <f>HYPERLINK("https://siafe.sefaz.ce.gov.br/Siafe/downloadSignature?token=26dcb40d3d7b4d83a04270cbb68b09fc","2025NE000715")</f>
        <v>2025NE000715</v>
      </c>
      <c r="H220" s="6">
        <v>7804.65</v>
      </c>
      <c r="I220" s="7" t="s">
        <v>39</v>
      </c>
      <c r="J220" s="10" t="s">
        <v>178</v>
      </c>
      <c r="L220" s="13"/>
    </row>
    <row r="221" spans="1:12" x14ac:dyDescent="0.25">
      <c r="A221" s="12" t="s">
        <v>19</v>
      </c>
      <c r="B221" s="2" t="s">
        <v>187</v>
      </c>
      <c r="C221" s="3" t="str">
        <f>HYPERLINK("https://transparencia-area-fim.mpce.mp.br/#/consulta/processo/pastadigital/092021000047808","09.2021.00004780-8")</f>
        <v>09.2021.00004780-8</v>
      </c>
      <c r="D221" s="4">
        <v>45761</v>
      </c>
      <c r="E221" s="16" t="str">
        <f>HYPERLINK("https://www8.mpce.mp.br/Empenhos/150001/Objeto/25-2021.pdf","EMPENHO REF. ALUGUEL DE IMÓVEL ONDE FUNCIONAM PROMOTORIAS DE JUSTIÇA DA COMARCA DE ALTO SANTO, CONF. CONTRATO 025/2021, REF. ABR, MAI E JUN/2025, POR ESTIMATIVA.")</f>
        <v>EMPENHO REF. ALUGUEL DE IMÓVEL ONDE FUNCIONAM PROMOTORIAS DE JUSTIÇA DA COMARCA DE ALTO SANTO, CONF. CONTRATO 025/2021, REF. ABR, MAI E JUN/2025, POR ESTIMATIVA.</v>
      </c>
      <c r="F221" s="2" t="s">
        <v>31</v>
      </c>
      <c r="G221" s="5" t="str">
        <f>HYPERLINK("https://siafe.sefaz.ce.gov.br/Siafe/downloadSignature?token=e4de5dc60c7d4e7497c98e4f130a69d3","2025NE000717")</f>
        <v>2025NE000717</v>
      </c>
      <c r="H221" s="6">
        <v>4953.45</v>
      </c>
      <c r="I221" s="7" t="s">
        <v>40</v>
      </c>
      <c r="J221" s="10" t="s">
        <v>180</v>
      </c>
      <c r="L221" s="13"/>
    </row>
    <row r="222" spans="1:12" x14ac:dyDescent="0.25">
      <c r="A222" s="12" t="s">
        <v>19</v>
      </c>
      <c r="B222" s="2" t="s">
        <v>398</v>
      </c>
      <c r="C222" s="3" t="str">
        <f>HYPERLINK("http://www8.mpce.mp.br/Dispensa/6795020160.pdf","6795020160")</f>
        <v>6795020160</v>
      </c>
      <c r="D222" s="4">
        <v>45761</v>
      </c>
      <c r="E222" s="16" t="str">
        <f>HYPERLINK("https://www8.mpce.mp.br/Empenhos/150001/Objeto/08-2017.pdf","EMPENHO DOS ALUGUÉIS DOS MESES DE ABRIL A JUNHO DE 2025 ( PROMOTORIAS DE JUSTIÇA DA COMARCA DE JARDIM), CONF. CONTRATO Nº  008/2017/PGJ.")</f>
        <v>EMPENHO DOS ALUGUÉIS DOS MESES DE ABRIL A JUNHO DE 2025 ( PROMOTORIAS DE JUSTIÇA DA COMARCA DE JARDIM), CONF. CONTRATO Nº  008/2017/PGJ.</v>
      </c>
      <c r="F222" s="2" t="s">
        <v>31</v>
      </c>
      <c r="G222" s="5" t="str">
        <f>HYPERLINK("https://siafe.sefaz.ce.gov.br/Siafe/downloadSignature?token=d0e4f53606d3405999da0ae40734a718","2025NE000718")</f>
        <v>2025NE000718</v>
      </c>
      <c r="H222" s="6">
        <v>2212.29</v>
      </c>
      <c r="I222" s="7" t="s">
        <v>99</v>
      </c>
      <c r="J222" s="10" t="s">
        <v>128</v>
      </c>
      <c r="L222" s="13"/>
    </row>
    <row r="223" spans="1:12" x14ac:dyDescent="0.25">
      <c r="A223" s="12" t="s">
        <v>19</v>
      </c>
      <c r="B223" s="2" t="s">
        <v>187</v>
      </c>
      <c r="C223" s="3" t="str">
        <f>HYPERLINK("http://www8.mpce.mp.br/Dispensa/1955220197.pdf","19552/2019-7")</f>
        <v>19552/2019-7</v>
      </c>
      <c r="D223" s="4">
        <v>45761</v>
      </c>
      <c r="E223" s="16" t="str">
        <f>HYPERLINK("https://www8.mpce.mp.br/Empenhos/150001/Objeto/85-2019.pdf","EMPENHO REF. ALUGUEL DE IMÓVEL ONDE FUNCIONAM PROMOTORIAS DE JUSTIÇA DA COMARCA DE PARAIPABA, CONF. CONTRATO 085/2019, REF. ABR, MAI E JUN/2025, POR ESTIMATIVA.")</f>
        <v>EMPENHO REF. ALUGUEL DE IMÓVEL ONDE FUNCIONAM PROMOTORIAS DE JUSTIÇA DA COMARCA DE PARAIPABA, CONF. CONTRATO 085/2019, REF. ABR, MAI E JUN/2025, POR ESTIMATIVA.</v>
      </c>
      <c r="F223" s="2" t="s">
        <v>31</v>
      </c>
      <c r="G223" s="5" t="str">
        <f>HYPERLINK("https://siafe.sefaz.ce.gov.br/Siafe/downloadSignature?token=7f26e7f09b7340f4b596058b2c5aa022","2025NE000720")</f>
        <v>2025NE000720</v>
      </c>
      <c r="H223" s="6">
        <v>3920.1</v>
      </c>
      <c r="I223" s="7" t="s">
        <v>41</v>
      </c>
      <c r="J223" s="10" t="s">
        <v>182</v>
      </c>
      <c r="L223" s="13"/>
    </row>
    <row r="224" spans="1:12" x14ac:dyDescent="0.25">
      <c r="A224" s="12" t="s">
        <v>159</v>
      </c>
      <c r="B224" s="2" t="s">
        <v>399</v>
      </c>
      <c r="C224" s="3" t="str">
        <f>HYPERLINK("https://transparencia-area-fim.mpce.mp.br/#/consulta/processo/pastadigital/092022000083885","09.2022.00008388-5")</f>
        <v>09.2022.00008388-5</v>
      </c>
      <c r="D224" s="4">
        <v>45761</v>
      </c>
      <c r="E224" s="16" t="str">
        <f>HYPERLINK("https://www8.mpce.mp.br/Empenhos/150001/Objeto/36-2023.pdf","EMPENHO DOS ALUGUÉIS DOS MESES DE ABRIL A JUNHO DE 2025 (PROMOTORIAS DE JUSTIÇA DA COMARCA DE SOLONÓPOLE), CONF. CONTRATO Nº 036/2023.")</f>
        <v>EMPENHO DOS ALUGUÉIS DOS MESES DE ABRIL A JUNHO DE 2025 (PROMOTORIAS DE JUSTIÇA DA COMARCA DE SOLONÓPOLE), CONF. CONTRATO Nº 036/2023.</v>
      </c>
      <c r="F224" s="2" t="s">
        <v>31</v>
      </c>
      <c r="G224" s="5" t="str">
        <f>HYPERLINK("https://siafe.sefaz.ce.gov.br/Siafe/downloadSignature?token=51136103d31543bc81331396ed51bff9","2025NE000721")</f>
        <v>2025NE000721</v>
      </c>
      <c r="H224" s="6">
        <v>11691.72</v>
      </c>
      <c r="I224" s="7" t="s">
        <v>49</v>
      </c>
      <c r="J224" s="10" t="s">
        <v>197</v>
      </c>
      <c r="L224" s="13"/>
    </row>
    <row r="225" spans="1:12" x14ac:dyDescent="0.25">
      <c r="A225" s="12" t="s">
        <v>19</v>
      </c>
      <c r="B225" s="2" t="s">
        <v>400</v>
      </c>
      <c r="C225" s="3" t="str">
        <f>HYPERLINK("http://www8.mpce.mp.br/Dispensa/2004820193.pdf","20048/2019-3")</f>
        <v>20048/2019-3</v>
      </c>
      <c r="D225" s="4">
        <v>45761</v>
      </c>
      <c r="E225" s="16" t="str">
        <f>HYPERLINK("https://www8.mpce.mp.br/Empenhos/150001/Objeto/84-2019.pdf","EMPENHO REF. ALUGUEL DE IMÓVEL ONDE FUNCIONAM PROMOTORIAS DE JUSTIÇA DA COMARCA DE MOMBAÇA, CONF. CONTRATO 084/2019, REF. ABR, MAI E JUN/2025, POR ESTIMATIVA.")</f>
        <v>EMPENHO REF. ALUGUEL DE IMÓVEL ONDE FUNCIONAM PROMOTORIAS DE JUSTIÇA DA COMARCA DE MOMBAÇA, CONF. CONTRATO 084/2019, REF. ABR, MAI E JUN/2025, POR ESTIMATIVA.</v>
      </c>
      <c r="F225" s="2" t="s">
        <v>31</v>
      </c>
      <c r="G225" s="5" t="str">
        <f>HYPERLINK("https://siafe.sefaz.ce.gov.br/Siafe/downloadSignature?token=b57c261d3c67451abdf9e21791520a19","2025NE000723")</f>
        <v>2025NE000723</v>
      </c>
      <c r="H225" s="6">
        <v>12000</v>
      </c>
      <c r="I225" s="7" t="s">
        <v>42</v>
      </c>
      <c r="J225" s="10" t="s">
        <v>184</v>
      </c>
      <c r="L225" s="13"/>
    </row>
    <row r="226" spans="1:12" x14ac:dyDescent="0.25">
      <c r="A226" s="12" t="s">
        <v>159</v>
      </c>
      <c r="B226" s="2" t="s">
        <v>401</v>
      </c>
      <c r="C226" s="3" t="str">
        <f>HYPERLINK("https://transparencia-area-fim.mpce.mp.br/#/consulta/processo/pastadigital/092022000409094","09.2022.00040909-4")</f>
        <v>09.2022.00040909-4</v>
      </c>
      <c r="D226" s="4">
        <v>45761</v>
      </c>
      <c r="E226" s="16" t="str">
        <f>HYPERLINK("https://www8.mpce.mp.br/Empenhos/150001/Objeto/41-2023.pdf","EMPENHO DOS ALUGUÉIS DOS MESES DE ABRIL A JUNHO DE 2025 (PROMOTORIAS DE JUSTIÇA DA COMARCA DE GUARACIABA DO NORTE), CONF. CONTRATO Nº 041/2023.")</f>
        <v>EMPENHO DOS ALUGUÉIS DOS MESES DE ABRIL A JUNHO DE 2025 (PROMOTORIAS DE JUSTIÇA DA COMARCA DE GUARACIABA DO NORTE), CONF. CONTRATO Nº 041/2023.</v>
      </c>
      <c r="F226" s="2" t="s">
        <v>31</v>
      </c>
      <c r="G226" s="5" t="str">
        <f>HYPERLINK("https://siafe.sefaz.ce.gov.br/Siafe/downloadSignature?token=17219d0fb2584354991499f2121595a8","2025NE000724")</f>
        <v>2025NE000724</v>
      </c>
      <c r="H226" s="6">
        <v>6900</v>
      </c>
      <c r="I226" s="7" t="s">
        <v>45</v>
      </c>
      <c r="J226" s="10" t="s">
        <v>193</v>
      </c>
      <c r="L226" s="13"/>
    </row>
    <row r="227" spans="1:12" x14ac:dyDescent="0.25">
      <c r="A227" s="12" t="s">
        <v>159</v>
      </c>
      <c r="B227" s="2" t="s">
        <v>402</v>
      </c>
      <c r="C227" s="3" t="str">
        <f>HYPERLINK("https://transparencia-area-fim.mpce.mp.br/#/consulta/processo/pastadigital/092022000426227","09.2022.00042622-7")</f>
        <v>09.2022.00042622-7</v>
      </c>
      <c r="D227" s="4">
        <v>45761</v>
      </c>
      <c r="E227" s="16" t="str">
        <f>HYPERLINK("https://www8.mpce.mp.br/Empenhos/150001/Objeto/33-2023.pdf","EMPENHO DOS ALUGUÉIS DOS MESES DE ABRIL A JUNHO DE 2025 (PROMOTORIAS DE JUSTIÇA DA COMARCA DE JUCÁS), CONF. CONTRATO Nº 033/2023.")</f>
        <v>EMPENHO DOS ALUGUÉIS DOS MESES DE ABRIL A JUNHO DE 2025 (PROMOTORIAS DE JUSTIÇA DA COMARCA DE JUCÁS), CONF. CONTRATO Nº 033/2023.</v>
      </c>
      <c r="F227" s="2" t="s">
        <v>31</v>
      </c>
      <c r="G227" s="5" t="str">
        <f>HYPERLINK("https://siafe.sefaz.ce.gov.br/Siafe/downloadSignature?token=f74cb2b2d8b846929b62239171f01416","2025NE000725")</f>
        <v>2025NE000725</v>
      </c>
      <c r="H227" s="6">
        <v>7500</v>
      </c>
      <c r="I227" s="7" t="s">
        <v>46</v>
      </c>
      <c r="J227" s="10" t="s">
        <v>194</v>
      </c>
      <c r="L227" s="13"/>
    </row>
    <row r="228" spans="1:12" x14ac:dyDescent="0.25">
      <c r="A228" s="12" t="s">
        <v>19</v>
      </c>
      <c r="B228" s="2" t="s">
        <v>403</v>
      </c>
      <c r="C228" s="3" t="str">
        <f>HYPERLINK("https://transparencia-area-fim.mpce.mp.br/#/consulta/processo/pastadigital/092022000110511","09.2022.00011051-1")</f>
        <v>09.2022.00011051-1</v>
      </c>
      <c r="D228" s="4">
        <v>45761</v>
      </c>
      <c r="E228" s="16" t="str">
        <f>HYPERLINK("https://www8.mpce.mp.br/Empenhos/150001/Objeto/38-2022.pdf","EMPENHO DOS ALUGUÉIS DOS MESES DE ABRIL A JUNHO DE 2025 (PROMOTORIAS DE JUSTIÇA DA COMARCA DE NOVA OLINDA), CONF. CONTRATO Nº 038/2022.")</f>
        <v>EMPENHO DOS ALUGUÉIS DOS MESES DE ABRIL A JUNHO DE 2025 (PROMOTORIAS DE JUSTIÇA DA COMARCA DE NOVA OLINDA), CONF. CONTRATO Nº 038/2022.</v>
      </c>
      <c r="F228" s="2" t="s">
        <v>31</v>
      </c>
      <c r="G228" s="5" t="str">
        <f>HYPERLINK("https://siafe.sefaz.ce.gov.br/Siafe/downloadSignature?token=c97f136208dc40eba0736ceec1b9a4bc","2025NE000726")</f>
        <v>2025NE000726</v>
      </c>
      <c r="H228" s="6">
        <v>6000</v>
      </c>
      <c r="I228" s="7" t="s">
        <v>47</v>
      </c>
      <c r="J228" s="10" t="s">
        <v>195</v>
      </c>
      <c r="L228" s="13"/>
    </row>
    <row r="229" spans="1:12" x14ac:dyDescent="0.25">
      <c r="A229" s="12" t="s">
        <v>159</v>
      </c>
      <c r="B229" s="2" t="s">
        <v>404</v>
      </c>
      <c r="C229" s="3" t="str">
        <f>HYPERLINK("https://transparencia-area-fim.mpce.mp.br/#/consulta/processo/pastadigital/092024000240032","09.2024.00024003-2")</f>
        <v>09.2024.00024003-2</v>
      </c>
      <c r="D229" s="4">
        <v>45761</v>
      </c>
      <c r="E229" s="16" t="str">
        <f>HYPERLINK("https://www8.mpce.mp.br/Empenhos/150001/Objeto/93-2024.pdf","EMPENHO DE ALUGUÉIS DOS MESES DE ABRIL A JUNHO DE 2025 (PROMOTORIAS DE JUSTIÇA DA COMARCA DE IPU), CONF. CONTRATO Nº 093/2024.")</f>
        <v>EMPENHO DE ALUGUÉIS DOS MESES DE ABRIL A JUNHO DE 2025 (PROMOTORIAS DE JUSTIÇA DA COMARCA DE IPU), CONF. CONTRATO Nº 093/2024.</v>
      </c>
      <c r="F229" s="2" t="s">
        <v>31</v>
      </c>
      <c r="G229" s="5" t="str">
        <f>HYPERLINK("https://siafe.sefaz.ce.gov.br/Siafe/downloadSignature?token=7f6928a09b9a45af9efdb8a7d1954d7d","2025NE000727")</f>
        <v>2025NE000727</v>
      </c>
      <c r="H229" s="6">
        <v>11451</v>
      </c>
      <c r="I229" s="7" t="s">
        <v>208</v>
      </c>
      <c r="J229" s="10" t="s">
        <v>209</v>
      </c>
      <c r="L229" s="13"/>
    </row>
    <row r="230" spans="1:12" x14ac:dyDescent="0.25">
      <c r="A230" s="12" t="s">
        <v>19</v>
      </c>
      <c r="B230" s="2" t="s">
        <v>405</v>
      </c>
      <c r="C230" s="3" t="str">
        <f>HYPERLINK("https://transparencia-area-fim.mpce.mp.br/#/consulta/processo/pastadigital/092022000276145","09.2022.00027614-5")</f>
        <v>09.2022.00027614-5</v>
      </c>
      <c r="D230" s="4">
        <v>45761</v>
      </c>
      <c r="E230" s="16" t="str">
        <f>HYPERLINK("https://www8.mpce.mp.br/Empenhos/150001/Objeto/36-2022.pdf","EMPENHO DOS ALUGUÉIS DOS MESES DE ABRIL A JUNHO DE 2025 (PROMOTORIAS DE JUSTIÇA DA COMARCA DE ARARIPE), CONF. CONTRATO Nº 036/2022.")</f>
        <v>EMPENHO DOS ALUGUÉIS DOS MESES DE ABRIL A JUNHO DE 2025 (PROMOTORIAS DE JUSTIÇA DA COMARCA DE ARARIPE), CONF. CONTRATO Nº 036/2022.</v>
      </c>
      <c r="F230" s="2" t="s">
        <v>31</v>
      </c>
      <c r="G230" s="5" t="str">
        <f>HYPERLINK("https://siafe.sefaz.ce.gov.br/Siafe/downloadSignature?token=dd7afc40309a466f95bdcbf6b0a0ac9a","2025NE000729")</f>
        <v>2025NE000729</v>
      </c>
      <c r="H230" s="6">
        <v>4500</v>
      </c>
      <c r="I230" s="7" t="s">
        <v>32</v>
      </c>
      <c r="J230" s="10" t="s">
        <v>163</v>
      </c>
      <c r="L230" s="13"/>
    </row>
    <row r="231" spans="1:12" x14ac:dyDescent="0.25">
      <c r="A231" s="12" t="s">
        <v>19</v>
      </c>
      <c r="B231" s="2" t="s">
        <v>187</v>
      </c>
      <c r="C231" s="3" t="str">
        <f>HYPERLINK("http://www8.mpce.mp.br/Dispensa/4503020176.pdf","45030/2017-6")</f>
        <v>45030/2017-6</v>
      </c>
      <c r="D231" s="4">
        <v>45761</v>
      </c>
      <c r="E231" s="16" t="str">
        <f>HYPERLINK("https://www8.mpce.mp.br/Empenhos/150001/Objeto/74-2019.pdf","EMPENHO REF. ALUGUEL DE IMÓVEL ONDE FUNCIONAM PROMOTORIAS DE JUSTIÇA DA COMARCA DE GRANJA, CONF. CONTRATO 074/2019, REF. ABR, MAI E JUN/2025, POR ESTIMATIVA.")</f>
        <v>EMPENHO REF. ALUGUEL DE IMÓVEL ONDE FUNCIONAM PROMOTORIAS DE JUSTIÇA DA COMARCA DE GRANJA, CONF. CONTRATO 074/2019, REF. ABR, MAI E JUN/2025, POR ESTIMATIVA.</v>
      </c>
      <c r="F231" s="2" t="s">
        <v>31</v>
      </c>
      <c r="G231" s="5" t="str">
        <f>HYPERLINK("https://siafe.sefaz.ce.gov.br/Siafe/downloadSignature?token=51b6fe4f8f364fc5bb4f53d08fe9b584","2025NE000730")</f>
        <v>2025NE000730</v>
      </c>
      <c r="H231" s="6">
        <v>7006.92</v>
      </c>
      <c r="I231" s="7" t="s">
        <v>95</v>
      </c>
      <c r="J231" s="10" t="s">
        <v>96</v>
      </c>
      <c r="L231" s="13"/>
    </row>
    <row r="232" spans="1:12" x14ac:dyDescent="0.25">
      <c r="A232" s="12" t="s">
        <v>19</v>
      </c>
      <c r="B232" s="2" t="s">
        <v>406</v>
      </c>
      <c r="C232" s="3" t="str">
        <f>HYPERLINK("https://transparencia-area-fim.mpce.mp.br/#/consulta/processo/pastadigital/092022000091296","09.2022.00009129-6")</f>
        <v>09.2022.00009129-6</v>
      </c>
      <c r="D232" s="4">
        <v>45761</v>
      </c>
      <c r="E232" s="17" t="str">
        <f>HYPERLINK("https://www8.mpce.mp.br/Empenhos/150001/Objeto/33-2022.pdf","EMPENHO DOS ALUGUÉIS DOS MESES DE ABRIL A JUNHO DE 2025 (PROMOTORIAS DE JUSTIÇA DA COMARCA DE VÁRZEA ALEGRE), CONF. CONTRATO Nº 033/2022.")</f>
        <v>EMPENHO DOS ALUGUÉIS DOS MESES DE ABRIL A JUNHO DE 2025 (PROMOTORIAS DE JUSTIÇA DA COMARCA DE VÁRZEA ALEGRE), CONF. CONTRATO Nº 033/2022.</v>
      </c>
      <c r="F232" s="2" t="s">
        <v>31</v>
      </c>
      <c r="G232" s="5" t="str">
        <f>HYPERLINK("https://siafe.sefaz.ce.gov.br/Siafe/downloadSignature?token=2690a71f451e462e8931f7e761a8fa8b","2025NE000732")</f>
        <v>2025NE000732</v>
      </c>
      <c r="H232" s="6">
        <v>2400</v>
      </c>
      <c r="I232" s="7" t="s">
        <v>33</v>
      </c>
      <c r="J232" s="10" t="s">
        <v>165</v>
      </c>
      <c r="L232" s="13"/>
    </row>
    <row r="233" spans="1:12" x14ac:dyDescent="0.25">
      <c r="A233" s="12" t="s">
        <v>19</v>
      </c>
      <c r="B233" s="2" t="s">
        <v>187</v>
      </c>
      <c r="C233" s="3" t="str">
        <f>HYPERLINK("http://www8.mpce.mp.br/Dispensa/2150720189.pdf","21507/2018-9")</f>
        <v>21507/2018-9</v>
      </c>
      <c r="D233" s="4">
        <v>45761</v>
      </c>
      <c r="E233" s="16" t="str">
        <f>HYPERLINK("https://www8.mpce.mp.br/Empenhos/150001/Objeto/51-2019.pdf","EMPENHO REF. ALUGUEL DE IMÓVEL ONDE FUNCIONAM PROMOTORIAS DE JUSTIÇA DA COMARCA DE VIÇOSA DO CEARÁ, CONF. CONTRATO 051/2019, REF. ABR, MAI E JUN/2025, POR ESTIMATIVA.")</f>
        <v>EMPENHO REF. ALUGUEL DE IMÓVEL ONDE FUNCIONAM PROMOTORIAS DE JUSTIÇA DA COMARCA DE VIÇOSA DO CEARÁ, CONF. CONTRATO 051/2019, REF. ABR, MAI E JUN/2025, POR ESTIMATIVA.</v>
      </c>
      <c r="F233" s="2" t="s">
        <v>31</v>
      </c>
      <c r="G233" s="5" t="str">
        <f>HYPERLINK("https://siafe.sefaz.ce.gov.br/Siafe/downloadSignature?token=e070b721503c42f0bb0ec2c2c7fc3e82","2025NE000733")</f>
        <v>2025NE000733</v>
      </c>
      <c r="H233" s="6">
        <v>8807.1299999999992</v>
      </c>
      <c r="I233" s="7" t="s">
        <v>98</v>
      </c>
      <c r="J233" s="10" t="s">
        <v>102</v>
      </c>
      <c r="L233" s="13"/>
    </row>
    <row r="234" spans="1:12" x14ac:dyDescent="0.25">
      <c r="A234" s="12" t="s">
        <v>19</v>
      </c>
      <c r="B234" s="2" t="s">
        <v>407</v>
      </c>
      <c r="C234" s="3" t="str">
        <f>HYPERLINK("https://transparencia-area-fim.mpce.mp.br/#/consulta/processo/pastadigital/092021000166790","09.2021.00016679-0")</f>
        <v>09.2021.00016679-0</v>
      </c>
      <c r="D234" s="4">
        <v>45761</v>
      </c>
      <c r="E234" s="16" t="str">
        <f>HYPERLINK("https://www8.mpce.mp.br/Empenhos/150001/Objeto/24-2022.pdf","EMPENHO DOS ALUGUÉIS DOS MESES DE ABRIL A JUNHO DE 2025 (PROMOTORIAS DE JUSTIÇA DA COMARCA DE HORIZONTE), CONF. CONTRATO Nº 024/2022.")</f>
        <v>EMPENHO DOS ALUGUÉIS DOS MESES DE ABRIL A JUNHO DE 2025 (PROMOTORIAS DE JUSTIÇA DA COMARCA DE HORIZONTE), CONF. CONTRATO Nº 024/2022.</v>
      </c>
      <c r="F234" s="2" t="s">
        <v>31</v>
      </c>
      <c r="G234" s="5" t="str">
        <f>HYPERLINK("https://siafe.sefaz.ce.gov.br/Siafe/downloadSignature?token=6d3ed509fc304a6ea1985f83d12c5ed8","2025NE000734")</f>
        <v>2025NE000734</v>
      </c>
      <c r="H234" s="6">
        <v>7505.1</v>
      </c>
      <c r="I234" s="7" t="s">
        <v>36</v>
      </c>
      <c r="J234" s="10" t="s">
        <v>172</v>
      </c>
      <c r="L234" s="13"/>
    </row>
    <row r="235" spans="1:12" x14ac:dyDescent="0.25">
      <c r="A235" s="12" t="s">
        <v>19</v>
      </c>
      <c r="B235" s="2" t="s">
        <v>187</v>
      </c>
      <c r="C235" s="3" t="str">
        <f>HYPERLINK("http://www8.mpce.mp.br/Dispensa/1320920133.pdf","13209/2013-3")</f>
        <v>13209/2013-3</v>
      </c>
      <c r="D235" s="4">
        <v>45761</v>
      </c>
      <c r="E235" s="16" t="str">
        <f>HYPERLINK("https://www8.mpce.mp.br/Empenhos/150001/Objeto/43-2013.pdf","EMPENHO REF. ALUGUEL DE IMÓVEL ONDE FUNCIONAM PROMOTORIAS DE JUSTIÇA DA COMARCA DE MORADA NOVA, CONF. CONTRATO 043/2021, REF. ABR, MAI E JUN/2025, POR ESTIMATIVA.")</f>
        <v>EMPENHO REF. ALUGUEL DE IMÓVEL ONDE FUNCIONAM PROMOTORIAS DE JUSTIÇA DA COMARCA DE MORADA NOVA, CONF. CONTRATO 043/2021, REF. ABR, MAI E JUN/2025, POR ESTIMATIVA.</v>
      </c>
      <c r="F235" s="2" t="s">
        <v>31</v>
      </c>
      <c r="G235" s="5" t="str">
        <f>HYPERLINK("https://siafe.sefaz.ce.gov.br/Siafe/downloadSignature?token=0bd49573328a4947a17cc7da1f753547","2025NE000736")</f>
        <v>2025NE000736</v>
      </c>
      <c r="H235" s="6">
        <v>25997.37</v>
      </c>
      <c r="I235" s="7" t="s">
        <v>62</v>
      </c>
      <c r="J235" s="10" t="s">
        <v>63</v>
      </c>
      <c r="L235" s="13"/>
    </row>
    <row r="236" spans="1:12" x14ac:dyDescent="0.25">
      <c r="A236" s="12" t="s">
        <v>19</v>
      </c>
      <c r="B236" s="2" t="s">
        <v>187</v>
      </c>
      <c r="C236" s="3" t="str">
        <f>HYPERLINK("http://www8.mpce.mp.br/Dispensa/146020136.pdf","1460/2013-6")</f>
        <v>1460/2013-6</v>
      </c>
      <c r="D236" s="4">
        <v>45761</v>
      </c>
      <c r="E236" s="16" t="str">
        <f>HYPERLINK("https://www8.mpce.mp.br/Empenhos/150001/Objeto/39-2013.pdf","EMPENHO REF. ALUGUEL DE IMÓVEL ONDE FUNCIONAM PROMOTORIAS DE JUSTIÇA DA COMARCA DE CASCAVEL-CE, CONF. CONTRATO 039/2013, REF. ABR, MAI E JUN/2025, POR ESTIMATIVA.")</f>
        <v>EMPENHO REF. ALUGUEL DE IMÓVEL ONDE FUNCIONAM PROMOTORIAS DE JUSTIÇA DA COMARCA DE CASCAVEL-CE, CONF. CONTRATO 039/2013, REF. ABR, MAI E JUN/2025, POR ESTIMATIVA.</v>
      </c>
      <c r="F236" s="2" t="s">
        <v>31</v>
      </c>
      <c r="G236" s="5" t="str">
        <f>HYPERLINK("https://siafe.sefaz.ce.gov.br/Siafe/downloadSignature?token=6fdfbf3de66e49428f27f4e5383137ff","2025NE000738")</f>
        <v>2025NE000738</v>
      </c>
      <c r="H236" s="6">
        <v>13024.68</v>
      </c>
      <c r="I236" s="7" t="s">
        <v>88</v>
      </c>
      <c r="J236" s="10" t="s">
        <v>89</v>
      </c>
      <c r="L236" s="13"/>
    </row>
    <row r="237" spans="1:12" x14ac:dyDescent="0.25">
      <c r="A237" s="12" t="s">
        <v>19</v>
      </c>
      <c r="B237" s="2" t="s">
        <v>408</v>
      </c>
      <c r="C237" s="3" t="str">
        <f>HYPERLINK("https://transparencia-area-fim.mpce.mp.br/#/consulta/processo/pastadigital/092022000264193","09.2022.00026419-3")</f>
        <v>09.2022.00026419-3</v>
      </c>
      <c r="D237" s="4">
        <v>45761</v>
      </c>
      <c r="E237" s="16" t="str">
        <f>HYPERLINK("https://www8.mpce.mp.br/Empenhos/150001/Objeto/28-2022.pdf","EMPENHO DOS ALUGUÉIS DOS MESES DE ABRIL A JUNHO DE 2025, (PROMOTORIAS DE JUSTIÇA DA COMARCA DE AURORA), CONF. CONTRATO Nº 028/2022.")</f>
        <v>EMPENHO DOS ALUGUÉIS DOS MESES DE ABRIL A JUNHO DE 2025, (PROMOTORIAS DE JUSTIÇA DA COMARCA DE AURORA), CONF. CONTRATO Nº 028/2022.</v>
      </c>
      <c r="F237" s="2" t="s">
        <v>31</v>
      </c>
      <c r="G237" s="5" t="str">
        <f>HYPERLINK("https://siafe.sefaz.ce.gov.br/Siafe/downloadSignature?token=12e3faa3bd8249158fd50fad5eace748","2025NE000739")</f>
        <v>2025NE000739</v>
      </c>
      <c r="H237" s="6">
        <v>6000</v>
      </c>
      <c r="I237" s="7" t="s">
        <v>34</v>
      </c>
      <c r="J237" s="10" t="s">
        <v>167</v>
      </c>
      <c r="L237" s="13"/>
    </row>
    <row r="238" spans="1:12" x14ac:dyDescent="0.25">
      <c r="A238" s="12" t="s">
        <v>159</v>
      </c>
      <c r="B238" s="2" t="s">
        <v>409</v>
      </c>
      <c r="C238" s="3" t="str">
        <f>HYPERLINK("https://transparencia-area-fim.mpce.mp.br/#/consulta/processo/pastadigital/092024000265223","09.2024.00026522-3")</f>
        <v>09.2024.00026522-3</v>
      </c>
      <c r="D238" s="4">
        <v>45761</v>
      </c>
      <c r="E238" s="17" t="str">
        <f>HYPERLINK("https://www8.mpce.mp.br/Empenhos/150001/Objeto/91-2024.pdf","EMPENHO DOS ALUGUÉIS DOS MESES DE ABRIL A JUNHO DE 2025 (PROMOTORIAS DE JUSTIÇA DA COMARCA DE JAGUARIBE), CONF. CONTRATO Nº 091/2024.")</f>
        <v>EMPENHO DOS ALUGUÉIS DOS MESES DE ABRIL A JUNHO DE 2025 (PROMOTORIAS DE JUSTIÇA DA COMARCA DE JAGUARIBE), CONF. CONTRATO Nº 091/2024.</v>
      </c>
      <c r="F238" s="2" t="s">
        <v>31</v>
      </c>
      <c r="G238" s="5" t="str">
        <f>HYPERLINK("https://siafe.sefaz.ce.gov.br/Siafe/downloadSignature?token=688e40b6bc924f4d8ea99d4ff4c3e816","2025NE000740")</f>
        <v>2025NE000740</v>
      </c>
      <c r="H238" s="6">
        <v>9000</v>
      </c>
      <c r="I238" s="7" t="s">
        <v>198</v>
      </c>
      <c r="J238" s="10" t="s">
        <v>199</v>
      </c>
      <c r="L238" s="13"/>
    </row>
    <row r="239" spans="1:12" x14ac:dyDescent="0.25">
      <c r="A239" s="12" t="s">
        <v>159</v>
      </c>
      <c r="B239" s="2" t="s">
        <v>410</v>
      </c>
      <c r="C239" s="3" t="str">
        <f>HYPERLINK("https://transparencia-area-fim.mpce.mp.br/#/consulta/processo/pastadigital/092022000371847","09.2022.00037184-7")</f>
        <v>09.2022.00037184-7</v>
      </c>
      <c r="D239" s="4">
        <v>45761</v>
      </c>
      <c r="E239" s="16" t="str">
        <f>HYPERLINK("https://www8.mpce.mp.br/Empenhos/150001/Objeto/44-2023.pdf","EMPENHO DOS ALUGUÉIS DOS MESES DE ABRIL A JUNHO DE 2025 (PROMOTORIAS DE JUSTIÇA DA COMARCA DE MARCO), CONF. CONTRATO Nº 044/2023.")</f>
        <v>EMPENHO DOS ALUGUÉIS DOS MESES DE ABRIL A JUNHO DE 2025 (PROMOTORIAS DE JUSTIÇA DA COMARCA DE MARCO), CONF. CONTRATO Nº 044/2023.</v>
      </c>
      <c r="F239" s="2" t="s">
        <v>31</v>
      </c>
      <c r="G239" s="5" t="str">
        <f>HYPERLINK("https://siafe.sefaz.ce.gov.br/Siafe/downloadSignature?token=a002f3f6da454f8bb53b50f45522917c","2025NE000741")</f>
        <v>2025NE000741</v>
      </c>
      <c r="H239" s="6">
        <v>3600</v>
      </c>
      <c r="I239" s="7" t="s">
        <v>44</v>
      </c>
      <c r="J239" s="10" t="s">
        <v>192</v>
      </c>
      <c r="L239" s="13"/>
    </row>
    <row r="240" spans="1:12" x14ac:dyDescent="0.25">
      <c r="A240" s="12" t="s">
        <v>159</v>
      </c>
      <c r="B240" s="2" t="s">
        <v>411</v>
      </c>
      <c r="C240" s="3" t="str">
        <f>HYPERLINK("https://transparencia-area-fim.mpce.mp.br/#/consulta/processo/pastadigital/092025000088526","09.2025.00008852-6")</f>
        <v>09.2025.00008852-6</v>
      </c>
      <c r="D240" s="4">
        <v>45762</v>
      </c>
      <c r="E240" s="16" t="s">
        <v>412</v>
      </c>
      <c r="F240" s="2" t="s">
        <v>413</v>
      </c>
      <c r="G240" s="5" t="str">
        <f>HYPERLINK("https://siafe.sefaz.ce.gov.br/Siafe/downloadSignature?token=1afccb00fed749d98d25021ca39351af","2025NE000744")</f>
        <v>2025NE000744</v>
      </c>
      <c r="H240" s="6">
        <v>42198.239999999998</v>
      </c>
      <c r="I240" s="7" t="s">
        <v>414</v>
      </c>
      <c r="J240" s="10" t="s">
        <v>415</v>
      </c>
      <c r="L240" s="13"/>
    </row>
    <row r="241" spans="1:12" x14ac:dyDescent="0.25">
      <c r="A241" s="12" t="s">
        <v>159</v>
      </c>
      <c r="B241" s="2" t="s">
        <v>334</v>
      </c>
      <c r="C241" s="3" t="str">
        <f>HYPERLINK("https://transparencia-area-fim.mpce.mp.br/#/consulta/processo/pastadigital/092025000080890","09.2025.00008089-0")</f>
        <v>09.2025.00008089-0</v>
      </c>
      <c r="D241" s="4">
        <v>45762</v>
      </c>
      <c r="E241" s="16" t="str">
        <f>HYPERLINK("https://www8.mpce.mp.br/Empenhos/150001/Objeto/-2024-1.pdf","PRESTAÇÃO DOS SERVIÇOS DE MANUTENÇÃO PARA EQUIPAMENTOS DE COMPUTAÇÃO, CONF. CONTRATO Nº 003/2024, REF. AOS MESES DE ABRIL, MAIO E JUNHO DE 2025, POR ESTIMATIVA.")</f>
        <v>PRESTAÇÃO DOS SERVIÇOS DE MANUTENÇÃO PARA EQUIPAMENTOS DE COMPUTAÇÃO, CONF. CONTRATO Nº 003/2024, REF. AOS MESES DE ABRIL, MAIO E JUNHO DE 2025, POR ESTIMATIVA.</v>
      </c>
      <c r="F241" s="2" t="s">
        <v>233</v>
      </c>
      <c r="G241" s="5" t="str">
        <f>HYPERLINK("https://siafe.sefaz.ce.gov.br/Siafe/downloadSignature?token=866e60a461b54633a51c92214acd2b4d","2025NE000747")</f>
        <v>2025NE000747</v>
      </c>
      <c r="H241" s="6">
        <v>4167.57</v>
      </c>
      <c r="I241" s="7" t="s">
        <v>56</v>
      </c>
      <c r="J241" s="10" t="s">
        <v>234</v>
      </c>
      <c r="L241" s="13"/>
    </row>
    <row r="242" spans="1:12" x14ac:dyDescent="0.25">
      <c r="A242" s="12" t="s">
        <v>159</v>
      </c>
      <c r="B242" s="2" t="s">
        <v>334</v>
      </c>
      <c r="C242" s="3" t="str">
        <f>HYPERLINK("https://transparencia-area-fim.mpce.mp.br/#/consulta/processo/pastadigital/092023000254844","09.2023.00025484-4")</f>
        <v>09.2023.00025484-4</v>
      </c>
      <c r="D242" s="4">
        <v>45762</v>
      </c>
      <c r="E242" s="17" t="str">
        <f>HYPERLINK("https://www8.mpce.mp.br/Empenhos/150001/Objeto/03-2024.pdf","SERVIÇOS DE MANUTENÇÃO PARA EQUIPAMENTOS DE COMPUTAÇÃO, CONF. CONTRATO Nº 003/2024, REF. AOS MESES DE ABRIL, MAIO E JUNHO DE 2025, POR ESTIMATIVA.")</f>
        <v>SERVIÇOS DE MANUTENÇÃO PARA EQUIPAMENTOS DE COMPUTAÇÃO, CONF. CONTRATO Nº 003/2024, REF. AOS MESES DE ABRIL, MAIO E JUNHO DE 2025, POR ESTIMATIVA.</v>
      </c>
      <c r="F242" s="2" t="s">
        <v>233</v>
      </c>
      <c r="G242" s="5" t="str">
        <f>HYPERLINK("https://siafe.sefaz.ce.gov.br/Siafe/downloadSignature?token=1426862b9112451bb21acd9993aab201","2025NE000748")</f>
        <v>2025NE000748</v>
      </c>
      <c r="H242" s="6">
        <v>9080.19</v>
      </c>
      <c r="I242" s="7" t="s">
        <v>56</v>
      </c>
      <c r="J242" s="10" t="s">
        <v>335</v>
      </c>
      <c r="L242" s="13"/>
    </row>
    <row r="243" spans="1:12" x14ac:dyDescent="0.25">
      <c r="A243" s="12" t="s">
        <v>19</v>
      </c>
      <c r="B243" s="2" t="s">
        <v>302</v>
      </c>
      <c r="C243" s="3" t="str">
        <f>HYPERLINK("https://transparencia-area-fim.mpce.mp.br/#/consulta/processo/pastadigital/092021000349974","09.2021.00034997-4")</f>
        <v>09.2021.00034997-4</v>
      </c>
      <c r="D243" s="4">
        <v>45762</v>
      </c>
      <c r="E243" s="17" t="str">
        <f>HYPERLINK("https://www8.mpce.mp.br/Empenhos/150001/Objeto/01-2022.pdf","EMPENHO REF. SUPORTE TÉCNICO PARA DESENVOLVIMENTO E IMPLEMENTAÇÃO DE CAMADA DE INTEROPERABILIDADE, INCLUINDO SERVIÇOS DE INTEGRAÇÃO DE SISTEMAS, CONF. CONTRATO 001/2022, REF. AB"&amp;"R, MAI E JUN/2025, POR ESTIMATIVA.")</f>
        <v>EMPENHO REF. SUPORTE TÉCNICO PARA DESENVOLVIMENTO E IMPLEMENTAÇÃO DE CAMADA DE INTEROPERABILIDADE, INCLUINDO SERVIÇOS DE INTEGRAÇÃO DE SISTEMAS, CONF. CONTRATO 001/2022, REF. ABR, MAI E JUN/2025, POR ESTIMATIVA.</v>
      </c>
      <c r="F243" s="2" t="s">
        <v>231</v>
      </c>
      <c r="G243" s="5" t="str">
        <f>HYPERLINK("https://siafe.sefaz.ce.gov.br/Siafe/downloadSignature?token=e0e9ada68b934c2ca3916ff93e7b8f92","2025NE000752")</f>
        <v>2025NE000752</v>
      </c>
      <c r="H243" s="6">
        <v>220032</v>
      </c>
      <c r="I243" s="7" t="s">
        <v>51</v>
      </c>
      <c r="J243" s="10" t="s">
        <v>212</v>
      </c>
      <c r="L243" s="13"/>
    </row>
    <row r="244" spans="1:12" x14ac:dyDescent="0.25">
      <c r="A244" s="12" t="s">
        <v>159</v>
      </c>
      <c r="B244" s="2" t="s">
        <v>253</v>
      </c>
      <c r="C244" s="3" t="str">
        <f>HYPERLINK("https://transparencia-area-fim.mpce.mp.br/#/consulta/processo/pastadigital/092021000000456","09.2021.00000045-6")</f>
        <v>09.2021.00000045-6</v>
      </c>
      <c r="D244" s="4">
        <v>45762</v>
      </c>
      <c r="E244" s="16" t="str">
        <f>HYPERLINK("https://www8.mpce.mp.br/Empenhos/150001/Objeto/02-2021.pdf","EMPENHO REF. SUPORTE TÉCNICO DA SOLUÇÃO GUARDIÃO WEB-BY NGC, CONF. CONTRATO 002/2021, REF. ABR, MAI E JUN/2025, POR ESTIMATIVA.")</f>
        <v>EMPENHO REF. SUPORTE TÉCNICO DA SOLUÇÃO GUARDIÃO WEB-BY NGC, CONF. CONTRATO 002/2021, REF. ABR, MAI E JUN/2025, POR ESTIMATIVA.</v>
      </c>
      <c r="F244" s="2" t="s">
        <v>248</v>
      </c>
      <c r="G244" s="5" t="str">
        <f>HYPERLINK("https://siafe.sefaz.ce.gov.br/Siafe/downloadSignature?token=780add903d2041199204df3cd33b20bb","2025NE000756")</f>
        <v>2025NE000756</v>
      </c>
      <c r="H244" s="6">
        <v>65352</v>
      </c>
      <c r="I244" s="7" t="s">
        <v>59</v>
      </c>
      <c r="J244" s="10" t="s">
        <v>249</v>
      </c>
      <c r="L244" s="13"/>
    </row>
    <row r="245" spans="1:12" x14ac:dyDescent="0.25">
      <c r="A245" s="12" t="s">
        <v>19</v>
      </c>
      <c r="B245" s="2" t="s">
        <v>210</v>
      </c>
      <c r="C245" s="3" t="str">
        <f>HYPERLINK("https://transparencia-area-fim.mpce.mp.br/#/consulta/processo/pastadigital/092021000166790","09.2021.00016679-0")</f>
        <v>09.2021.00016679-0</v>
      </c>
      <c r="D245" s="4">
        <v>45762</v>
      </c>
      <c r="E245" s="16" t="str">
        <f>HYPERLINK("https://www8.mpce.mp.br/Empenhos/150001/Objeto/24-2022.pdf","EMPENHO REF. ALUGUEL RETROATIVO DE IMÓVEL ONDE FUNCIONAM PROMOTORIAS DE JUSTIÇA DA COMARCA DE HORIZONTE, CONF. CONTRATO 024/2022 E TERMO DE RECONHECIMENTO DE DÍVIDA 0017/2025/SE"&amp;"FIN, REF. SET, OUT, NOV E DEZ/2024. DEA: 2025NP000125.")</f>
        <v>EMPENHO REF. ALUGUEL RETROATIVO DE IMÓVEL ONDE FUNCIONAM PROMOTORIAS DE JUSTIÇA DA COMARCA DE HORIZONTE, CONF. CONTRATO 024/2022 E TERMO DE RECONHECIMENTO DE DÍVIDA 0017/2025/SEFIN, REF. SET, OUT, NOV E DEZ/2024. DEA: 2025NP000125.</v>
      </c>
      <c r="F245" s="2" t="s">
        <v>367</v>
      </c>
      <c r="G245" s="5" t="str">
        <f>HYPERLINK("https://siafe.sefaz.ce.gov.br/Siafe/downloadSignature?token=b0cae479bb834756831328574f029739","2025NE000757")</f>
        <v>2025NE000757</v>
      </c>
      <c r="H245" s="6">
        <v>359.34</v>
      </c>
      <c r="I245" s="7" t="s">
        <v>36</v>
      </c>
      <c r="J245" s="10" t="s">
        <v>172</v>
      </c>
      <c r="L245" s="13"/>
    </row>
    <row r="246" spans="1:12" x14ac:dyDescent="0.25">
      <c r="A246" s="12" t="s">
        <v>19</v>
      </c>
      <c r="B246" s="2" t="s">
        <v>243</v>
      </c>
      <c r="C246" s="3" t="str">
        <f>HYPERLINK("https://transparencia-area-fim.mpce.mp.br/#/consulta/processo/pastadigital/092023000388810","09.2023.00038881-0")</f>
        <v>09.2023.00038881-0</v>
      </c>
      <c r="D246" s="4">
        <v>45762</v>
      </c>
      <c r="E246" s="16" t="str">
        <f>HYPERLINK("https://www8.mpce.mp.br/Empenhos/150001/Objeto/22-2024.pdf","EMPENHO REF. SERVIÇOS DE SOLUÇÃO EM NUVEM DE PROTEÇÃO, GESTÃO, AVALIAÇÃO DE POSTURA E CONECTIVIDADE PARA NUVEM, INCLUINDO IMPLANTAÇÃO, MONITORAMENTO E SUPORTE TÉCNICO, CONF. CON"&amp;"TRATO 022/2024, REF. ABR, MAI E JUN/2025, POR ESTIMATIVA.")</f>
        <v>EMPENHO REF. SERVIÇOS DE SOLUÇÃO EM NUVEM DE PROTEÇÃO, GESTÃO, AVALIAÇÃO DE POSTURA E CONECTIVIDADE PARA NUVEM, INCLUINDO IMPLANTAÇÃO, MONITORAMENTO E SUPORTE TÉCNICO, CONF. CONTRATO 022/2024, REF. ABR, MAI E JUN/2025, POR ESTIMATIVA.</v>
      </c>
      <c r="F246" s="2" t="s">
        <v>211</v>
      </c>
      <c r="G246" s="5" t="str">
        <f>HYPERLINK("https://siafe.sefaz.ce.gov.br/Siafe/downloadSignature?token=30964b88e36a4025bce0e7c3f2253415","2025NE000761")</f>
        <v>2025NE000761</v>
      </c>
      <c r="H246" s="6">
        <v>107155.5</v>
      </c>
      <c r="I246" s="7" t="s">
        <v>51</v>
      </c>
      <c r="J246" s="10" t="s">
        <v>212</v>
      </c>
      <c r="L246" s="13"/>
    </row>
    <row r="247" spans="1:12" x14ac:dyDescent="0.25">
      <c r="A247" s="12" t="s">
        <v>19</v>
      </c>
      <c r="B247" s="2" t="s">
        <v>416</v>
      </c>
      <c r="C247" s="3" t="str">
        <f>HYPERLINK("http://www8.mpce.mp.br/Dispensa/3072520194.pdf","30725/2019-4")</f>
        <v>30725/2019-4</v>
      </c>
      <c r="D247" s="4">
        <v>45763</v>
      </c>
      <c r="E247" s="16" t="str">
        <f>HYPERLINK("https://www8.mpce.mp.br/Empenhos/150001/Objeto/06-2020.pdf","PRESTAÇÃO DE SERVIÇOS DE NUVEM, E TRANSPORTE DE DADOS POR MEIO DO CINTURÃO DIGITAL DO CEARÁ (CDC) DA EMPRESA DE TECNOLOGIA DA INFORMAÇÃO DO CEARÁ  ETICE, REFERENTE AO(S) MÊS(ESE"&amp;"S) DE ABRIL, MAIO E JUNHO DE 2025, CONF. CONTRATO Nº 006/2020.")</f>
        <v>PRESTAÇÃO DE SERVIÇOS DE NUVEM, E TRANSPORTE DE DADOS POR MEIO DO CINTURÃO DIGITAL DO CEARÁ (CDC) DA EMPRESA DE TECNOLOGIA DA INFORMAÇÃO DO CEARÁ  ETICE, REFERENTE AO(S) MÊS(ESES) DE ABRIL, MAIO E JUNHO DE 2025, CONF. CONTRATO Nº 006/2020.</v>
      </c>
      <c r="F247" s="2" t="s">
        <v>211</v>
      </c>
      <c r="G247" s="5" t="str">
        <f>HYPERLINK("https://siafe.sefaz.ce.gov.br/Siafe/downloadSignature?token=d686b0509a9b4429b18a065c69f3bea9","2025NE000769")</f>
        <v>2025NE000769</v>
      </c>
      <c r="H247" s="6">
        <v>41716.199999999997</v>
      </c>
      <c r="I247" s="7" t="s">
        <v>51</v>
      </c>
      <c r="J247" s="10" t="s">
        <v>212</v>
      </c>
      <c r="L247" s="13"/>
    </row>
    <row r="248" spans="1:12" x14ac:dyDescent="0.25">
      <c r="A248" s="12" t="s">
        <v>19</v>
      </c>
      <c r="B248" s="2" t="s">
        <v>417</v>
      </c>
      <c r="C248" s="3" t="str">
        <f>HYPERLINK("https://transparencia-area-fim.mpce.mp.br/#/consulta/processo/pastadigital/092022000230870","09.2022.00023087-0")</f>
        <v>09.2022.00023087-0</v>
      </c>
      <c r="D248" s="4">
        <v>45769</v>
      </c>
      <c r="E248" s="16" t="str">
        <f>HYPERLINK("https://www8.mpce.mp.br/Empenhos/150001/Objeto/29-2022.pdf","EMPENHO DE IPTU DE 2025, PARCELA ÚNICA. (PROMOTORIAS DE JUSTIÇA DE JUAZEIRO DO NORTE, LOCALIZADA A RUA GENÁRIO DE OLIVEIRA, S/N QC2 L6A, 10,16,17 E 18A - BAIRRO LAGOA SECA), CON"&amp;"F. CONTRATO Nº 029/2022.")</f>
        <v>EMPENHO DE IPTU DE 2025, PARCELA ÚNICA. (PROMOTORIAS DE JUSTIÇA DE JUAZEIRO DO NORTE, LOCALIZADA A RUA GENÁRIO DE OLIVEIRA, S/N QC2 L6A, 10,16,17 E 18A - BAIRRO LAGOA SECA), CONF. CONTRATO Nº 029/2022.</v>
      </c>
      <c r="F248" s="2" t="s">
        <v>323</v>
      </c>
      <c r="G248" s="5" t="str">
        <f>HYPERLINK("https://siafe.sefaz.ce.gov.br/Siafe/downloadSignature?token=e317d2e854ca407b9b5e678e39753c94","2025NE000775")</f>
        <v>2025NE000775</v>
      </c>
      <c r="H248" s="6">
        <v>6199.16</v>
      </c>
      <c r="I248" s="7" t="s">
        <v>20</v>
      </c>
      <c r="J248" s="10" t="s">
        <v>138</v>
      </c>
      <c r="L248" s="13"/>
    </row>
    <row r="249" spans="1:12" x14ac:dyDescent="0.25">
      <c r="A249" s="12" t="s">
        <v>159</v>
      </c>
      <c r="B249" s="2" t="s">
        <v>278</v>
      </c>
      <c r="C249" s="3" t="str">
        <f>HYPERLINK("https://transparencia-area-fim.mpce.mp.br/#/consulta/processo/pastadigital/092023000255300","09.2023.00025530-0")</f>
        <v>09.2023.00025530-0</v>
      </c>
      <c r="D249" s="4">
        <v>45769</v>
      </c>
      <c r="E249" s="16" t="str">
        <f>HYPERLINK("https://www8.mpce.mp.br/Empenhos/150001/Objeto/42-2024.pdf","EMPENHO REF. SERVIÇO DO SISTEMA SAJ-MP - SOB DEMANDA, CONF. CONTRATO 042/2024, REF. ABR, MAI E JUN/2025, POR ESTIMATIVA.")</f>
        <v>EMPENHO REF. SERVIÇO DO SISTEMA SAJ-MP - SOB DEMANDA, CONF. CONTRATO 042/2024, REF. ABR, MAI E JUN/2025, POR ESTIMATIVA.</v>
      </c>
      <c r="F249" s="2" t="s">
        <v>279</v>
      </c>
      <c r="G249" s="5" t="str">
        <f>HYPERLINK("https://siafe.sefaz.ce.gov.br/Siafe/downloadSignature?token=66afc38724104ba2844d42762d09587a","2025NE000777")</f>
        <v>2025NE000777</v>
      </c>
      <c r="H249" s="6">
        <v>132000</v>
      </c>
      <c r="I249" s="7" t="s">
        <v>73</v>
      </c>
      <c r="J249" s="10" t="s">
        <v>280</v>
      </c>
      <c r="L249" s="13"/>
    </row>
    <row r="250" spans="1:12" x14ac:dyDescent="0.25">
      <c r="A250" s="12" t="s">
        <v>159</v>
      </c>
      <c r="B250" s="2" t="s">
        <v>278</v>
      </c>
      <c r="C250" s="3" t="str">
        <f>HYPERLINK("https://transparencia-area-fim.mpce.mp.br/#/consulta/processo/pastadigital/092023000255300","09.2023.00025530-0")</f>
        <v>09.2023.00025530-0</v>
      </c>
      <c r="D250" s="4">
        <v>45769</v>
      </c>
      <c r="E250" s="16" t="str">
        <f>HYPERLINK("https://www8.mpce.mp.br/Empenhos/150001/Objeto/42-2024.pdf","EMPENHO REF. SERVIÇO DO SISTEMA SAJ-MP - ACOMPANHAMENTO DA OPERAÇÃO, CONF. CONTRATO 042/2024, REF. ABR, MAI E JUN/2025, POR ESTIMATIVA.")</f>
        <v>EMPENHO REF. SERVIÇO DO SISTEMA SAJ-MP - ACOMPANHAMENTO DA OPERAÇÃO, CONF. CONTRATO 042/2024, REF. ABR, MAI E JUN/2025, POR ESTIMATIVA.</v>
      </c>
      <c r="F250" s="2" t="s">
        <v>279</v>
      </c>
      <c r="G250" s="5" t="str">
        <f>HYPERLINK("https://siafe.sefaz.ce.gov.br/Siafe/downloadSignature?token=2635e40e30284b8695d7f8b7bdaf54e9","2025NE000778")</f>
        <v>2025NE000778</v>
      </c>
      <c r="H250" s="6">
        <v>218571</v>
      </c>
      <c r="I250" s="7" t="s">
        <v>73</v>
      </c>
      <c r="J250" s="10" t="s">
        <v>280</v>
      </c>
      <c r="L250" s="13"/>
    </row>
    <row r="251" spans="1:12" x14ac:dyDescent="0.25">
      <c r="A251" s="12" t="s">
        <v>19</v>
      </c>
      <c r="B251" s="2" t="s">
        <v>418</v>
      </c>
      <c r="C251" s="3" t="str">
        <f>HYPERLINK("https://transparencia-area-fim.mpce.mp.br/#/consulta/processo/pastadigital/092020000071437","09.2020.00007143-7")</f>
        <v>09.2020.00007143-7</v>
      </c>
      <c r="D251" s="4">
        <v>45749</v>
      </c>
      <c r="E251" s="16" t="str">
        <f>HYPERLINK("https://www8.mpce.mp.br/Empenhos/150001/Objeto/23-2020.pdf","FORNECIMENTO DE PRODUTOS E DE DIVERSOS SERVIÇOS DOS CORREIOS POR MEIO DOS CANAIS DE ATENDIMENTO DISPONIBILIZADOS, CONF. CONTRATO Nº 023/2020, REF. AOS MESES DE ABRIL, MAIO E JUN"&amp;"HO/2025.")</f>
        <v>FORNECIMENTO DE PRODUTOS E DE DIVERSOS SERVIÇOS DOS CORREIOS POR MEIO DOS CANAIS DE ATENDIMENTO DISPONIBILIZADOS, CONF. CONTRATO Nº 023/2020, REF. AOS MESES DE ABRIL, MAIO E JUNHO/2025.</v>
      </c>
      <c r="F251" s="2" t="s">
        <v>206</v>
      </c>
      <c r="G251" s="5" t="str">
        <f>HYPERLINK("https://siafe.sefaz.ce.gov.br/Siafe/downloadSignature?token=0f2c32a9657544a88fed1de18bc0d49f","2025NE000785")</f>
        <v>2025NE000785</v>
      </c>
      <c r="H251" s="6">
        <v>60000</v>
      </c>
      <c r="I251" s="7" t="s">
        <v>50</v>
      </c>
      <c r="J251" s="10" t="s">
        <v>207</v>
      </c>
      <c r="L251" s="13"/>
    </row>
    <row r="252" spans="1:12" x14ac:dyDescent="0.25">
      <c r="A252" s="12" t="s">
        <v>19</v>
      </c>
      <c r="B252" s="2" t="s">
        <v>187</v>
      </c>
      <c r="C252" s="3" t="str">
        <f>HYPERLINK("http://www8.mpce.mp.br/Dispensa/575920103.pdf","5759/2010-3")</f>
        <v>5759/2010-3</v>
      </c>
      <c r="D252" s="4">
        <v>45770</v>
      </c>
      <c r="E252" s="16" t="str">
        <f>HYPERLINK("https://www8.mpce.mp.br/Empenhos/150001/Objeto/22-2010.pdf","EMPENHO REF. ALUGUEL DE IMÓVEL ONDE FUNCIONAM PROMOTORIAS DE JUSTIÇA DA COMARCA DE GUAIÚBA, CONF. 6º TERMO DE APOSTILAMENTO AO CONTRATO 022/2010, REF. 17 (DEZESSETE) DIAS PROPOR"&amp;"CIONAIS DE MAR/2025 (RETROATIVO).")</f>
        <v>EMPENHO REF. ALUGUEL DE IMÓVEL ONDE FUNCIONAM PROMOTORIAS DE JUSTIÇA DA COMARCA DE GUAIÚBA, CONF. 6º TERMO DE APOSTILAMENTO AO CONTRATO 022/2010, REF. 17 (DEZESSETE) DIAS PROPORCIONAIS DE MAR/2025 (RETROATIVO).</v>
      </c>
      <c r="F252" s="2" t="s">
        <v>31</v>
      </c>
      <c r="G252" s="5" t="str">
        <f>HYPERLINK("https://siafe.sefaz.ce.gov.br/Siafe/downloadSignature?token=5b2b850032f545019cbeebd7a93adcbb","2025NE000789")</f>
        <v>2025NE000789</v>
      </c>
      <c r="H252" s="6">
        <v>64.58</v>
      </c>
      <c r="I252" s="7" t="s">
        <v>86</v>
      </c>
      <c r="J252" s="10" t="s">
        <v>87</v>
      </c>
      <c r="L252" s="13"/>
    </row>
    <row r="253" spans="1:12" x14ac:dyDescent="0.25">
      <c r="A253" s="12" t="s">
        <v>19</v>
      </c>
      <c r="B253" s="2" t="s">
        <v>187</v>
      </c>
      <c r="C253" s="3" t="str">
        <f>HYPERLINK("http://www8.mpce.mp.br/Dispensa/1955220197.pdf","19552/2019-7")</f>
        <v>19552/2019-7</v>
      </c>
      <c r="D253" s="4">
        <v>45770</v>
      </c>
      <c r="E253" s="16" t="str">
        <f>HYPERLINK("https://www8.mpce.mp.br/Empenhos/150001/Objeto/85-2019.pdf","EMPENHO REF. ALUGUEL DE IMÓVEL ONDE FUNCIONAM PROMOTORIAS DE JUSTIÇA DA COMARCA DE PARAIPABA, CONF. 6º TERMO DE APOSTILAMENTO AO CONTRATO 085/2019, REF. REAJUSTE RETROATIVO A JA"&amp;"N, FEV E MAR/2025.")</f>
        <v>EMPENHO REF. ALUGUEL DE IMÓVEL ONDE FUNCIONAM PROMOTORIAS DE JUSTIÇA DA COMARCA DE PARAIPABA, CONF. 6º TERMO DE APOSTILAMENTO AO CONTRATO 085/2019, REF. REAJUSTE RETROATIVO A JAN, FEV E MAR/2025.</v>
      </c>
      <c r="F253" s="2" t="s">
        <v>31</v>
      </c>
      <c r="G253" s="5" t="str">
        <f>HYPERLINK("https://siafe.sefaz.ce.gov.br/Siafe/downloadSignature?token=77c0386e2365402dadfb8e42b3fef9d3","2025NE000792")</f>
        <v>2025NE000792</v>
      </c>
      <c r="H253" s="6">
        <v>256.29000000000002</v>
      </c>
      <c r="I253" s="7" t="s">
        <v>41</v>
      </c>
      <c r="J253" s="10" t="s">
        <v>182</v>
      </c>
      <c r="L253" s="13"/>
    </row>
    <row r="254" spans="1:12" x14ac:dyDescent="0.25">
      <c r="A254" s="12" t="s">
        <v>19</v>
      </c>
      <c r="B254" s="2" t="s">
        <v>187</v>
      </c>
      <c r="C254" s="3" t="str">
        <f>HYPERLINK("https://transparencia-area-fim.mpce.mp.br/#/consulta/processo/pastadigital/092022000091296","09.2022.00009129-6")</f>
        <v>09.2022.00009129-6</v>
      </c>
      <c r="D254" s="4">
        <v>45771</v>
      </c>
      <c r="E254" s="16" t="str">
        <f>HYPERLINK("https://www8.mpce.mp.br/Empenhos/150001/Objeto/33-2022.pdf","EMPENHO REF. ALUGUEL DE IMÓVEL ONDE FUNCIONAM PROMOTORIAS DE JUSTIÇA DA COMARCA DE VÁRZEA ALEGRE, CONF. 2º TERMO DE APOSTILAMENTO AO CONTRATO 033/2022, REF. REAJUSTE RETROATIVO "&amp;"DE JAN, FEV E MAR/2025.")</f>
        <v>EMPENHO REF. ALUGUEL DE IMÓVEL ONDE FUNCIONAM PROMOTORIAS DE JUSTIÇA DA COMARCA DE VÁRZEA ALEGRE, CONF. 2º TERMO DE APOSTILAMENTO AO CONTRATO 033/2022, REF. REAJUSTE RETROATIVO DE JAN, FEV E MAR/2025.</v>
      </c>
      <c r="F254" s="2" t="s">
        <v>31</v>
      </c>
      <c r="G254" s="5" t="str">
        <f>HYPERLINK("https://siafe.sefaz.ce.gov.br/Siafe/downloadSignature?token=4eee50621ff04a34a5ef554be90c4d04","2025NE000798")</f>
        <v>2025NE000798</v>
      </c>
      <c r="H254" s="6">
        <v>106.2</v>
      </c>
      <c r="I254" s="7" t="s">
        <v>33</v>
      </c>
      <c r="J254" s="10" t="s">
        <v>165</v>
      </c>
      <c r="L254" s="13"/>
    </row>
    <row r="255" spans="1:12" x14ac:dyDescent="0.25">
      <c r="A255" s="12" t="s">
        <v>159</v>
      </c>
      <c r="B255" s="2" t="s">
        <v>253</v>
      </c>
      <c r="C255" s="3" t="str">
        <f>HYPERLINK("https://transparencia-area-fim.mpce.mp.br/#/consulta/processo/pastadigital/092021000189150","09.2021.00018915-0")</f>
        <v>09.2021.00018915-0</v>
      </c>
      <c r="D255" s="4">
        <v>45771</v>
      </c>
      <c r="E255" s="16" t="str">
        <f>HYPERLINK("https://www8.mpce.mp.br/Empenhos/150001/Objeto/09-2022.pdf","EMPENHO REF. SERVIÇOS DE EXTENSÃO DE GARANTIA PARA O DATA CENTER, CONF. CONTRATO 009/2022, REF. ABR/2025, POR ESTIMATIVA.")</f>
        <v>EMPENHO REF. SERVIÇOS DE EXTENSÃO DE GARANTIA PARA O DATA CENTER, CONF. CONTRATO 009/2022, REF. ABR/2025, POR ESTIMATIVA.</v>
      </c>
      <c r="F255" s="2" t="s">
        <v>264</v>
      </c>
      <c r="G255" s="5" t="str">
        <f>HYPERLINK("https://siafe.sefaz.ce.gov.br/Siafe/downloadSignature?token=44809d8d99ce4a5ebfccf8ce222ba1cf","2025NE000804")</f>
        <v>2025NE000804</v>
      </c>
      <c r="H255" s="6">
        <v>19378.669999999998</v>
      </c>
      <c r="I255" s="7" t="s">
        <v>66</v>
      </c>
      <c r="J255" s="10" t="s">
        <v>265</v>
      </c>
      <c r="L255" s="13"/>
    </row>
    <row r="256" spans="1:12" x14ac:dyDescent="0.25">
      <c r="A256" s="12" t="s">
        <v>159</v>
      </c>
      <c r="B256" s="2" t="s">
        <v>253</v>
      </c>
      <c r="C256" s="3" t="str">
        <f>HYPERLINK("https://transparencia-area-fim.mpce.mp.br/#/consulta/processo/pastadigital/092021000189150","09.2021.00018915-0")</f>
        <v>09.2021.00018915-0</v>
      </c>
      <c r="D256" s="4">
        <v>45771</v>
      </c>
      <c r="E256" s="16" t="str">
        <f>HYPERLINK("https://www8.mpce.mp.br/Empenhos/150001/Objeto/09-2022.pdf","EMPENHO REF. SERVIÇOS DE EXTENSÃO DE GARANTIA PARA O DATA CENTER, CONF. CONTRATO 009/2022, REF. MAI E JUN/2025, POR ESTIMATIVA.")</f>
        <v>EMPENHO REF. SERVIÇOS DE EXTENSÃO DE GARANTIA PARA O DATA CENTER, CONF. CONTRATO 009/2022, REF. MAI E JUN/2025, POR ESTIMATIVA.</v>
      </c>
      <c r="F256" s="2" t="s">
        <v>264</v>
      </c>
      <c r="G256" s="5" t="str">
        <f>HYPERLINK("https://siafe.sefaz.ce.gov.br/Siafe/downloadSignature?token=bd2913ef4f5246b7901e81964020d0aa","2025NE000805")</f>
        <v>2025NE000805</v>
      </c>
      <c r="H256" s="6">
        <v>38757.339999999997</v>
      </c>
      <c r="I256" s="7" t="s">
        <v>66</v>
      </c>
      <c r="J256" s="10" t="s">
        <v>265</v>
      </c>
      <c r="L256" s="13"/>
    </row>
    <row r="257" spans="1:12" x14ac:dyDescent="0.25">
      <c r="A257" s="12" t="s">
        <v>159</v>
      </c>
      <c r="B257" s="2" t="s">
        <v>276</v>
      </c>
      <c r="C257" s="3" t="str">
        <f>HYPERLINK("https://transparencia-area-fim.mpce.mp.br/#/consulta/processo/pastadigital/092023000079630","09.2023.00007963-0")</f>
        <v>09.2023.00007963-0</v>
      </c>
      <c r="D257" s="4">
        <v>45772</v>
      </c>
      <c r="E257" s="16" t="str">
        <f>HYPERLINK("https://www8.mpce.mp.br/Empenhos/150001/Objeto/15-2023.pdf","EMPENHO REF. SERVIÇOS TÉCNICOS ESPECIALIZADOS DE PESQUISA E ACONSELHAMENTO IMPARCIAL EM TECNOLOGIA DA INFORMAÇÃO, CONF. CONTRATO 015/2023, REF. ABR/2025, POR ESTIMATIVA.")</f>
        <v>EMPENHO REF. SERVIÇOS TÉCNICOS ESPECIALIZADOS DE PESQUISA E ACONSELHAMENTO IMPARCIAL EM TECNOLOGIA DA INFORMAÇÃO, CONF. CONTRATO 015/2023, REF. ABR/2025, POR ESTIMATIVA.</v>
      </c>
      <c r="F257" s="2" t="s">
        <v>228</v>
      </c>
      <c r="G257" s="5" t="str">
        <f>HYPERLINK("https://siafe.sefaz.ce.gov.br/Siafe/downloadSignature?token=cebc0cfe54b24f6a92f7dc0098accf00","2025NE000836")</f>
        <v>2025NE000836</v>
      </c>
      <c r="H257" s="6">
        <v>65600</v>
      </c>
      <c r="I257" s="7" t="s">
        <v>72</v>
      </c>
      <c r="J257" s="10" t="s">
        <v>277</v>
      </c>
      <c r="L257" s="13"/>
    </row>
    <row r="258" spans="1:12" x14ac:dyDescent="0.25">
      <c r="A258" s="12" t="s">
        <v>159</v>
      </c>
      <c r="B258" s="2" t="s">
        <v>220</v>
      </c>
      <c r="C258" s="3" t="str">
        <f>HYPERLINK("https://transparencia-area-fim.mpce.mp.br/#/consulta/processo/pastadigital/092023000385590","09.2023.00038559-0")</f>
        <v>09.2023.00038559-0</v>
      </c>
      <c r="D258" s="4">
        <v>45775</v>
      </c>
      <c r="E258" s="16" t="str">
        <f>HYPERLINK("https://www8.mpce.mp.br/Empenhos/150001/Objeto/25-2024.pdf","EMPENHO REF. LICENÇAS DE ACESSO ÀS PLATAFORMAS WELLZ E WELLHUB, PARA MEMBROS E SERVIDORES DO MPCE, CONF. CONTRATO 025/2024, REF. ABR/2025, POR ESTIMATIVA.")</f>
        <v>EMPENHO REF. LICENÇAS DE ACESSO ÀS PLATAFORMAS WELLZ E WELLHUB, PARA MEMBROS E SERVIDORES DO MPCE, CONF. CONTRATO 025/2024, REF. ABR/2025, POR ESTIMATIVA.</v>
      </c>
      <c r="F258" s="2" t="s">
        <v>228</v>
      </c>
      <c r="G258" s="5" t="str">
        <f>HYPERLINK("https://siafe.sefaz.ce.gov.br/Siafe/downloadSignature?token=a20e0d1d655d476ea82ff2f375d19614","2025NE000838")</f>
        <v>2025NE000838</v>
      </c>
      <c r="H258" s="6">
        <v>54500</v>
      </c>
      <c r="I258" s="7" t="s">
        <v>57</v>
      </c>
      <c r="J258" s="10" t="s">
        <v>242</v>
      </c>
      <c r="L258" s="13"/>
    </row>
    <row r="259" spans="1:12" x14ac:dyDescent="0.25">
      <c r="A259" s="12" t="s">
        <v>159</v>
      </c>
      <c r="B259" s="2" t="s">
        <v>278</v>
      </c>
      <c r="C259" s="3" t="str">
        <f>HYPERLINK("https://transparencia-area-fim.mpce.mp.br/#/consulta/processo/pastadigital/092023000255300","09.2023.00025530-0")</f>
        <v>09.2023.00025530-0</v>
      </c>
      <c r="D259" s="4">
        <v>45775</v>
      </c>
      <c r="E259" s="16" t="str">
        <f>HYPERLINK("https://www8.mpce.mp.br/Empenhos/150001/Objeto/42-2024.pdf","EMPENHO REF. SERVIÇO DO SISTEMA SAJ-MP - SUSTENTAÇÃO, CONF. CONTRATO 042/2024, REF. ABR/2025, POR ESTIMATIVA.")</f>
        <v>EMPENHO REF. SERVIÇO DO SISTEMA SAJ-MP - SUSTENTAÇÃO, CONF. CONTRATO 042/2024, REF. ABR/2025, POR ESTIMATIVA.</v>
      </c>
      <c r="F259" s="2" t="s">
        <v>279</v>
      </c>
      <c r="G259" s="5" t="str">
        <f>HYPERLINK("https://siafe.sefaz.ce.gov.br/Siafe/downloadSignature?token=ed87251f1603410b93ece0af69564de4","2025NE000840")</f>
        <v>2025NE000840</v>
      </c>
      <c r="H259" s="6">
        <v>82608</v>
      </c>
      <c r="I259" s="7" t="s">
        <v>73</v>
      </c>
      <c r="J259" s="10" t="s">
        <v>280</v>
      </c>
      <c r="L259" s="13"/>
    </row>
    <row r="260" spans="1:12" x14ac:dyDescent="0.25">
      <c r="A260" s="12" t="s">
        <v>159</v>
      </c>
      <c r="B260" s="2" t="s">
        <v>278</v>
      </c>
      <c r="C260" s="3" t="str">
        <f>HYPERLINK("https://transparencia-area-fim.mpce.mp.br/#/consulta/processo/pastadigital/092023000255300","09.2023.00025530-0")</f>
        <v>09.2023.00025530-0</v>
      </c>
      <c r="D260" s="4">
        <v>45775</v>
      </c>
      <c r="E260" s="16" t="str">
        <f>HYPERLINK("https://www8.mpce.mp.br/Empenhos/150001/Objeto/42-2024.pdf","EMPENHO REF. SERVIÇO DO SISTEMA SAJ-MP - HOSPEDAGEM EM NUVEM, CONF. CONTRATO 042/2024, REF. ABR/2025, POR ESTIMATIVA.")</f>
        <v>EMPENHO REF. SERVIÇO DO SISTEMA SAJ-MP - HOSPEDAGEM EM NUVEM, CONF. CONTRATO 042/2024, REF. ABR/2025, POR ESTIMATIVA.</v>
      </c>
      <c r="F260" s="2" t="s">
        <v>283</v>
      </c>
      <c r="G260" s="5" t="str">
        <f>HYPERLINK("https://siafe.sefaz.ce.gov.br/Siafe/downloadSignature?token=ee102a338c2e49a6801720de10507be3","2025NE000842")</f>
        <v>2025NE000842</v>
      </c>
      <c r="H260" s="6">
        <v>104500</v>
      </c>
      <c r="I260" s="7" t="s">
        <v>73</v>
      </c>
      <c r="J260" s="10" t="s">
        <v>280</v>
      </c>
      <c r="L260" s="13"/>
    </row>
    <row r="261" spans="1:12" x14ac:dyDescent="0.25">
      <c r="A261" s="12" t="s">
        <v>19</v>
      </c>
      <c r="B261" s="2" t="s">
        <v>243</v>
      </c>
      <c r="C261" s="3" t="str">
        <f>HYPERLINK("https://transparencia-area-fim.mpce.mp.br/#/consulta/processo/pastadigital/092024000176845","09.2024.00017684-5")</f>
        <v>09.2024.00017684-5</v>
      </c>
      <c r="D261" s="4">
        <v>45775</v>
      </c>
      <c r="E261" s="16" t="str">
        <f>HYPERLINK("https://www8.mpce.mp.br/Empenhos/150001/Objeto/58-2024.pdf","EMPENHO REF. SERVIÇOS ESPECIALIZADOS EM SEGURANÇA (ANTIVÍRUS), CONF. CONTRATO 058/2024, REF. ABR/2025, POR ESTIMATIVA.")</f>
        <v>EMPENHO REF. SERVIÇOS ESPECIALIZADOS EM SEGURANÇA (ANTIVÍRUS), CONF. CONTRATO 058/2024, REF. ABR/2025, POR ESTIMATIVA.</v>
      </c>
      <c r="F261" s="2" t="s">
        <v>211</v>
      </c>
      <c r="G261" s="5" t="str">
        <f>HYPERLINK("https://siafe.sefaz.ce.gov.br/Siafe/downloadSignature?token=94ab71c265f3438fa97c2ee5f336a4d2","2025NE000845")</f>
        <v>2025NE000845</v>
      </c>
      <c r="H261" s="6">
        <v>122950.65</v>
      </c>
      <c r="I261" s="7" t="s">
        <v>51</v>
      </c>
      <c r="J261" s="10" t="s">
        <v>212</v>
      </c>
      <c r="L261" s="13"/>
    </row>
    <row r="262" spans="1:12" x14ac:dyDescent="0.25">
      <c r="A262" s="12" t="s">
        <v>159</v>
      </c>
      <c r="B262" s="2" t="s">
        <v>278</v>
      </c>
      <c r="C262" s="3" t="str">
        <f>HYPERLINK("https://transparencia-area-fim.mpce.mp.br/#/consulta/processo/pastadigital/092023000255300","09.2023.00025530-0")</f>
        <v>09.2023.00025530-0</v>
      </c>
      <c r="D262" s="4">
        <v>45775</v>
      </c>
      <c r="E262" s="16" t="str">
        <f>HYPERLINK("https://www8.mpce.mp.br/Empenhos/150001/Objeto/42-2024.pdf","EMPENHO REF. SERVIÇO DO SISTEMA SAJMP - GETF, CONF. CONTRATO 042/2024, REF. ABR/2025, POR ESTIMATIVA.")</f>
        <v>EMPENHO REF. SERVIÇO DO SISTEMA SAJMP - GETF, CONF. CONTRATO 042/2024, REF. ABR/2025, POR ESTIMATIVA.</v>
      </c>
      <c r="F262" s="2" t="s">
        <v>284</v>
      </c>
      <c r="G262" s="5" t="str">
        <f>HYPERLINK("https://siafe.sefaz.ce.gov.br/Siafe/downloadSignature?token=912328c098bd4a858493ef2906983684","2025NE000847")</f>
        <v>2025NE000847</v>
      </c>
      <c r="H262" s="6">
        <v>153428</v>
      </c>
      <c r="I262" s="7" t="s">
        <v>73</v>
      </c>
      <c r="J262" s="10" t="s">
        <v>280</v>
      </c>
      <c r="L262" s="13"/>
    </row>
    <row r="263" spans="1:12" x14ac:dyDescent="0.25">
      <c r="A263" s="12" t="s">
        <v>159</v>
      </c>
      <c r="B263" s="2" t="s">
        <v>278</v>
      </c>
      <c r="C263" s="3" t="str">
        <f>HYPERLINK("https://transparencia-area-fim.mpce.mp.br/#/consulta/processo/pastadigital/092023000255300","09.2023.00025530-0")</f>
        <v>09.2023.00025530-0</v>
      </c>
      <c r="D263" s="4">
        <v>45775</v>
      </c>
      <c r="E263" s="16" t="str">
        <f>HYPERLINK("https://www8.mpce.mp.br/Empenhos/150001/Objeto/42-2024.pdf","EMPENHO REF. SERVIÇO DO SISTEMA SAJ-MP - SUPORTE 1º NÍVEL, CONF. CONTRATO 042/2024, REF. ABR/2025, POR ESTIMATIVA.")</f>
        <v>EMPENHO REF. SERVIÇO DO SISTEMA SAJ-MP - SUPORTE 1º NÍVEL, CONF. CONTRATO 042/2024, REF. ABR/2025, POR ESTIMATIVA.</v>
      </c>
      <c r="F263" s="2" t="s">
        <v>279</v>
      </c>
      <c r="G263" s="5" t="str">
        <f>HYPERLINK("https://siafe.sefaz.ce.gov.br/Siafe/downloadSignature?token=e8985521f0604134843cabd5e4d90908","2025NE000849")</f>
        <v>2025NE000849</v>
      </c>
      <c r="H263" s="6">
        <v>170000</v>
      </c>
      <c r="I263" s="7" t="s">
        <v>73</v>
      </c>
      <c r="J263" s="10" t="s">
        <v>280</v>
      </c>
      <c r="L263" s="13"/>
    </row>
    <row r="264" spans="1:12" x14ac:dyDescent="0.25">
      <c r="A264" s="12" t="s">
        <v>19</v>
      </c>
      <c r="B264" s="2" t="s">
        <v>243</v>
      </c>
      <c r="C264" s="3" t="str">
        <f>HYPERLINK("https://transparencia-area-fim.mpce.mp.br/#/consulta/processo/pastadigital/092024000176845","09.2024.00017684-5")</f>
        <v>09.2024.00017684-5</v>
      </c>
      <c r="D264" s="4">
        <v>45776</v>
      </c>
      <c r="E264" s="16" t="str">
        <f>HYPERLINK("https://www8.mpce.mp.br/Empenhos/150001/Objeto/58-2024.pdf","EMPENHO REF. SUPORTE TÉCNICO PARA DESENVOLVIMENTO E IMPLANTAÇÃO DE CAMADA DE INTEROPERABILIDADE, INCLUINDO SERVIÇOS DE INTEGRAÇÃO DE SISTEMAS, CONF. CONTRATO 058/2023, REF. 2025"&amp;", POR ESTIMATIVA.")</f>
        <v>EMPENHO REF. SUPORTE TÉCNICO PARA DESENVOLVIMENTO E IMPLANTAÇÃO DE CAMADA DE INTEROPERABILIDADE, INCLUINDO SERVIÇOS DE INTEGRAÇÃO DE SISTEMAS, CONF. CONTRATO 058/2023, REF. 2025, POR ESTIMATIVA.</v>
      </c>
      <c r="F264" s="2" t="s">
        <v>231</v>
      </c>
      <c r="G264" s="5" t="str">
        <f>HYPERLINK("https://siafe.sefaz.ce.gov.br/Siafe/downloadSignature?token=a528bb79a83f40caadb57ba93c3b5c23","2025NE000878")</f>
        <v>2025NE000878</v>
      </c>
      <c r="H264" s="6">
        <v>215130.87</v>
      </c>
      <c r="I264" s="7" t="s">
        <v>51</v>
      </c>
      <c r="J264" s="10" t="s">
        <v>212</v>
      </c>
      <c r="L264" s="13"/>
    </row>
    <row r="265" spans="1:12" x14ac:dyDescent="0.25">
      <c r="A265" s="12" t="s">
        <v>159</v>
      </c>
      <c r="B265" s="2" t="s">
        <v>253</v>
      </c>
      <c r="C265" s="3" t="str">
        <f>HYPERLINK("https://transparencia-area-fim.mpce.mp.br/#/consulta/processo/pastadigital/092025000085430","09.2025.00008543-0")</f>
        <v>09.2025.00008543-0</v>
      </c>
      <c r="D265" s="4">
        <v>45749</v>
      </c>
      <c r="E265" s="16" t="s">
        <v>419</v>
      </c>
      <c r="F265" s="2" t="s">
        <v>255</v>
      </c>
      <c r="G265" s="5" t="str">
        <f>HYPERLINK("https://siafe.sefaz.ce.gov.br/Siafe/downloadSignature?token=f409b2c7449e4824a8693ec540a025c9","2025NE000882")</f>
        <v>2025NE000882</v>
      </c>
      <c r="H265" s="6">
        <v>117.84</v>
      </c>
      <c r="I265" s="7" t="s">
        <v>76</v>
      </c>
      <c r="J265" s="10" t="s">
        <v>288</v>
      </c>
      <c r="L265" s="13"/>
    </row>
    <row r="266" spans="1:12" x14ac:dyDescent="0.25">
      <c r="A266" s="12" t="s">
        <v>159</v>
      </c>
      <c r="B266" s="2" t="s">
        <v>253</v>
      </c>
      <c r="C266" s="3" t="str">
        <f>HYPERLINK("https://transparencia-area-fim.mpce.mp.br/#/consulta/processo/pastadigital/092025000085484","09.2025.00008548-4")</f>
        <v>09.2025.00008548-4</v>
      </c>
      <c r="D266" s="4">
        <v>45749</v>
      </c>
      <c r="E266" s="16" t="s">
        <v>420</v>
      </c>
      <c r="F266" s="2" t="s">
        <v>255</v>
      </c>
      <c r="G266" s="5" t="str">
        <f>HYPERLINK("https://siafe.sefaz.ce.gov.br/Siafe/downloadSignature?token=d2bbbe1d938f49848fb664628e8410fe","2025NE000885")</f>
        <v>2025NE000885</v>
      </c>
      <c r="H266" s="6">
        <v>600</v>
      </c>
      <c r="I266" s="7" t="s">
        <v>77</v>
      </c>
      <c r="J266" s="10" t="s">
        <v>289</v>
      </c>
      <c r="L266" s="13"/>
    </row>
    <row r="267" spans="1:12" x14ac:dyDescent="0.25">
      <c r="A267" s="12" t="s">
        <v>159</v>
      </c>
      <c r="B267" s="2" t="s">
        <v>253</v>
      </c>
      <c r="C267" s="3" t="str">
        <f>HYPERLINK("https://transparencia-area-fim.mpce.mp.br/#/consulta/processo/pastadigital/092025000085707","09.2025.00008570-7")</f>
        <v>09.2025.00008570-7</v>
      </c>
      <c r="D267" s="4">
        <v>45749</v>
      </c>
      <c r="E267" s="16" t="s">
        <v>421</v>
      </c>
      <c r="F267" s="2" t="s">
        <v>255</v>
      </c>
      <c r="G267" s="5" t="str">
        <f>HYPERLINK("https://siafe.sefaz.ce.gov.br/Siafe/downloadSignature?token=2167b64f7076496ba212cd6846ab2a78","2025NE000887")</f>
        <v>2025NE000887</v>
      </c>
      <c r="H267" s="6">
        <v>750</v>
      </c>
      <c r="I267" s="7" t="s">
        <v>78</v>
      </c>
      <c r="J267" s="10" t="s">
        <v>295</v>
      </c>
      <c r="L267" s="13"/>
    </row>
    <row r="268" spans="1:12" x14ac:dyDescent="0.25">
      <c r="A268" s="12" t="s">
        <v>159</v>
      </c>
      <c r="B268" s="2" t="s">
        <v>253</v>
      </c>
      <c r="C268" s="3" t="str">
        <f>HYPERLINK("https://transparencia-area-fim.mpce.mp.br/#/consulta/processo/pastadigital/092025000086606","09.2025.00008660-6")</f>
        <v>09.2025.00008660-6</v>
      </c>
      <c r="D268" s="4">
        <v>45749</v>
      </c>
      <c r="E268" s="16" t="s">
        <v>422</v>
      </c>
      <c r="F268" s="2" t="s">
        <v>255</v>
      </c>
      <c r="G268" s="5" t="str">
        <f>HYPERLINK("https://siafe.sefaz.ce.gov.br/Siafe/downloadSignature?token=0db2a8424d674bae9dcca6ba573eb878","2025NE000890")</f>
        <v>2025NE000890</v>
      </c>
      <c r="H268" s="6">
        <v>150000</v>
      </c>
      <c r="I268" s="7" t="s">
        <v>75</v>
      </c>
      <c r="J268" s="10" t="s">
        <v>286</v>
      </c>
      <c r="L268" s="13"/>
    </row>
    <row r="269" spans="1:12" x14ac:dyDescent="0.25">
      <c r="A269" s="12" t="s">
        <v>159</v>
      </c>
      <c r="B269" s="2" t="s">
        <v>258</v>
      </c>
      <c r="C269" s="3" t="str">
        <f>HYPERLINK("https://transparencia-area-fim.mpce.mp.br/#/consulta/processo/pastadigital/092025000086561","09.2025.00008656-1")</f>
        <v>09.2025.00008656-1</v>
      </c>
      <c r="D269" s="4">
        <v>45749</v>
      </c>
      <c r="E269" s="16" t="s">
        <v>423</v>
      </c>
      <c r="F269" s="2" t="s">
        <v>255</v>
      </c>
      <c r="G269" s="5" t="str">
        <f>HYPERLINK("https://siafe.sefaz.ce.gov.br/Siafe/downloadSignature?token=1e82c82a7a614ea791eca65414669850","2025NE000893")</f>
        <v>2025NE000893</v>
      </c>
      <c r="H269" s="6">
        <v>615</v>
      </c>
      <c r="I269" s="7" t="s">
        <v>80</v>
      </c>
      <c r="J269" s="10" t="s">
        <v>301</v>
      </c>
      <c r="L269" s="13"/>
    </row>
    <row r="270" spans="1:12" x14ac:dyDescent="0.25">
      <c r="A270" s="12" t="s">
        <v>159</v>
      </c>
      <c r="B270" s="2" t="s">
        <v>258</v>
      </c>
      <c r="C270" s="3" t="str">
        <f>HYPERLINK("https://transparencia-area-fim.mpce.mp.br/#/consulta/processo/pastadigital/092025000086550","09.2025.00008655-0")</f>
        <v>09.2025.00008655-0</v>
      </c>
      <c r="D270" s="4">
        <v>45749</v>
      </c>
      <c r="E270" s="16" t="s">
        <v>424</v>
      </c>
      <c r="F270" s="2" t="s">
        <v>255</v>
      </c>
      <c r="G270" s="5" t="str">
        <f>HYPERLINK("https://siafe.sefaz.ce.gov.br/Siafe/downloadSignature?token=25c8d9ab02de4460a180a13439349d8a","2025NE000894")</f>
        <v>2025NE000894</v>
      </c>
      <c r="H270" s="6">
        <v>471.33</v>
      </c>
      <c r="I270" s="7" t="s">
        <v>70</v>
      </c>
      <c r="J270" s="10" t="s">
        <v>273</v>
      </c>
      <c r="L270" s="13"/>
    </row>
    <row r="271" spans="1:12" x14ac:dyDescent="0.25">
      <c r="A271" s="12" t="s">
        <v>159</v>
      </c>
      <c r="B271" s="2" t="s">
        <v>168</v>
      </c>
      <c r="C271" s="3" t="str">
        <f>HYPERLINK("http://www8.mpce.mp.br/Inexigibilidade/1045920194.pdf","10459/2019-4")</f>
        <v>10459/2019-4</v>
      </c>
      <c r="D271" s="4">
        <v>45784</v>
      </c>
      <c r="E271" s="16" t="str">
        <f>HYPERLINK("https://www8.mpce.mp.br/Empenhos/150001/Objeto/47-2019.pdf","EMPENHO REF. SERVIÇOS DE PERÍCIAS E ANÁLISES COMPARATIVAS, CONF. CONTRATO 047/2019 E PROPOSTA 064/2025/ASTEF, REF. MAI E JUN/2025, POR ESTIMATIVA.")</f>
        <v>EMPENHO REF. SERVIÇOS DE PERÍCIAS E ANÁLISES COMPARATIVAS, CONF. CONTRATO 047/2019 E PROPOSTA 064/2025/ASTEF, REF. MAI E JUN/2025, POR ESTIMATIVA.</v>
      </c>
      <c r="F271" s="2" t="s">
        <v>214</v>
      </c>
      <c r="G271" s="5" t="str">
        <f>HYPERLINK("https://siafe.sefaz.ce.gov.br/Siafe/downloadSignature?token=0b5b218e0b30469da903f5ef03f71fba","2025NE000895")</f>
        <v>2025NE000895</v>
      </c>
      <c r="H271" s="6">
        <v>13800</v>
      </c>
      <c r="I271" s="7" t="s">
        <v>35</v>
      </c>
      <c r="J271" s="10" t="s">
        <v>170</v>
      </c>
      <c r="L271" s="13"/>
    </row>
    <row r="272" spans="1:12" x14ac:dyDescent="0.25">
      <c r="A272" s="12" t="s">
        <v>159</v>
      </c>
      <c r="B272" s="2" t="s">
        <v>258</v>
      </c>
      <c r="C272" s="3" t="str">
        <f>HYPERLINK("https://transparencia-area-fim.mpce.mp.br/#/consulta/processo/pastadigital/092025000086572","09.2025.00008657-2")</f>
        <v>09.2025.00008657-2</v>
      </c>
      <c r="D272" s="4">
        <v>45749</v>
      </c>
      <c r="E272" s="16" t="s">
        <v>425</v>
      </c>
      <c r="F272" s="2" t="s">
        <v>255</v>
      </c>
      <c r="G272" s="5" t="str">
        <f>HYPERLINK("https://siafe.sefaz.ce.gov.br/Siafe/downloadSignature?token=6d15cf49ad314b80b18d46d0e6f47794","2025NE000896")</f>
        <v>2025NE000896</v>
      </c>
      <c r="H272" s="6">
        <v>3000</v>
      </c>
      <c r="I272" s="7" t="s">
        <v>71</v>
      </c>
      <c r="J272" s="10" t="s">
        <v>275</v>
      </c>
      <c r="L272" s="13"/>
    </row>
    <row r="273" spans="1:12" x14ac:dyDescent="0.25">
      <c r="A273" s="12" t="s">
        <v>19</v>
      </c>
      <c r="B273" s="2" t="s">
        <v>187</v>
      </c>
      <c r="C273" s="3" t="str">
        <f>HYPERLINK("https://transparencia-area-fim.mpce.mp.br/#/consulta/processo/pastadigital/092021000166790","09.2021.00016679-0")</f>
        <v>09.2021.00016679-0</v>
      </c>
      <c r="D273" s="4">
        <v>45784</v>
      </c>
      <c r="E273" s="16" t="str">
        <f>HYPERLINK("https://www8.mpce.mp.br/Empenhos/150001/Objeto/24-2022.pdf","EMPENHO REF. IPTU DE IMÓVEL ONDE FUNCIONA SEDE DE PROMOTORIAS DE JUSTIÇA DA COMARCA DE HORIZONTE, CONF. CONTRATO 024/2022, REF. 2025 - PARCELA ÚNICA, POR ESTIMATIVA.")</f>
        <v>EMPENHO REF. IPTU DE IMÓVEL ONDE FUNCIONA SEDE DE PROMOTORIAS DE JUSTIÇA DA COMARCA DE HORIZONTE, CONF. CONTRATO 024/2022, REF. 2025 - PARCELA ÚNICA, POR ESTIMATIVA.</v>
      </c>
      <c r="F273" s="2" t="s">
        <v>361</v>
      </c>
      <c r="G273" s="5" t="str">
        <f>HYPERLINK("https://siafe.sefaz.ce.gov.br/Siafe/downloadSignature?token=8d7d7a3e8f1a4d0e91a3d4f97594dabb","2025NE000896")</f>
        <v>2025NE000896</v>
      </c>
      <c r="H273" s="6">
        <v>573.94000000000005</v>
      </c>
      <c r="I273" s="7" t="s">
        <v>36</v>
      </c>
      <c r="J273" s="10" t="s">
        <v>172</v>
      </c>
      <c r="L273" s="13"/>
    </row>
    <row r="274" spans="1:12" x14ac:dyDescent="0.25">
      <c r="A274" s="12" t="s">
        <v>19</v>
      </c>
      <c r="B274" s="2" t="s">
        <v>374</v>
      </c>
      <c r="C274" s="3" t="str">
        <f>HYPERLINK("https://transparencia-area-fim.mpce.mp.br/#/consulta/processo/pastadigital/092023000338563","09.2023.00033856-3")</f>
        <v>09.2023.00033856-3</v>
      </c>
      <c r="D274" s="4">
        <v>45785</v>
      </c>
      <c r="E274" s="16" t="str">
        <f>HYPERLINK("https://www8.mpce.mp.br/Empenhos/150001/Objeto/01-2024.pdf","EMPENHO DE REEMBOLSO DE IPTU/2025, PARCELA ÚNICA, DO IMÓVEL ONDE FUNCIONAM AS PROMOTORIAS DE JUSTIÇA DA COMARCA DE AQUIRAZ, LOCALIZADO À RUA ANGELICA, Nº 298, BAIRRO CENTRO, AQU"&amp;"IRAZ-CE, CONF. CONTRATO Nº 001/2024.")</f>
        <v>EMPENHO DE REEMBOLSO DE IPTU/2025, PARCELA ÚNICA, DO IMÓVEL ONDE FUNCIONAM AS PROMOTORIAS DE JUSTIÇA DA COMARCA DE AQUIRAZ, LOCALIZADO À RUA ANGELICA, Nº 298, BAIRRO CENTRO, AQUIRAZ-CE, CONF. CONTRATO Nº 001/2024.</v>
      </c>
      <c r="F274" s="2" t="s">
        <v>323</v>
      </c>
      <c r="G274" s="5" t="str">
        <f>HYPERLINK("https://siafe.sefaz.ce.gov.br/Siafe/downloadSignature?token=55786a569c7d4c578565f949e34ee785","2025NE000897")</f>
        <v>2025NE000897</v>
      </c>
      <c r="H274" s="6">
        <v>4235.17</v>
      </c>
      <c r="I274" s="7" t="s">
        <v>27</v>
      </c>
      <c r="J274" s="10" t="s">
        <v>154</v>
      </c>
      <c r="L274" s="13"/>
    </row>
    <row r="275" spans="1:12" x14ac:dyDescent="0.25">
      <c r="A275" s="12" t="s">
        <v>159</v>
      </c>
      <c r="B275" s="2" t="s">
        <v>258</v>
      </c>
      <c r="C275" s="3" t="str">
        <f>HYPERLINK("https://transparencia-area-fim.mpce.mp.br/#/consulta/processo/pastadigital/092025000086583","09.2025.00008658-3")</f>
        <v>09.2025.00008658-3</v>
      </c>
      <c r="D275" s="4">
        <v>45749</v>
      </c>
      <c r="E275" s="16" t="s">
        <v>426</v>
      </c>
      <c r="F275" s="2" t="s">
        <v>255</v>
      </c>
      <c r="G275" s="5" t="str">
        <f>HYPERLINK("https://siafe.sefaz.ce.gov.br/Siafe/downloadSignature?token=54663269e3c94114813acc7cd9a215a7","2025NE000898")</f>
        <v>2025NE000898</v>
      </c>
      <c r="H275" s="6">
        <v>419.16</v>
      </c>
      <c r="I275" s="7" t="s">
        <v>74</v>
      </c>
      <c r="J275" s="10" t="s">
        <v>282</v>
      </c>
      <c r="L275" s="13"/>
    </row>
    <row r="276" spans="1:12" x14ac:dyDescent="0.25">
      <c r="A276" s="12" t="s">
        <v>19</v>
      </c>
      <c r="B276" s="2" t="s">
        <v>200</v>
      </c>
      <c r="C276" s="3" t="str">
        <f>HYPERLINK("https://transparencia-area-fim.mpce.mp.br/#/consulta/processo/pastadigital/092024000041060","09.2024.00004106-0")</f>
        <v>09.2024.00004106-0</v>
      </c>
      <c r="D276" s="4">
        <v>45749</v>
      </c>
      <c r="E276" s="17" t="str">
        <f>HYPERLINK("https://www8.mpce.mp.br/Empenhos/150001/Objeto/95-2024.pdf","EMPENHO REF. CHIPS DA VIVO, CONF. CONTRATO 095/2024, REF. ABR, MAI E JUN/2025, POR ESTIMATIVA.")</f>
        <v>EMPENHO REF. CHIPS DA VIVO, CONF. CONTRATO 095/2024, REF. ABR, MAI E JUN/2025, POR ESTIMATIVA.</v>
      </c>
      <c r="F276" s="2" t="s">
        <v>291</v>
      </c>
      <c r="G276" s="5" t="str">
        <f>HYPERLINK("https://siafe.sefaz.ce.gov.br/Siafe/downloadSignature?token=0696c39ab42f421bb1692b6495733a17","2025NE000901")</f>
        <v>2025NE000901</v>
      </c>
      <c r="H276" s="6">
        <v>6000</v>
      </c>
      <c r="I276" s="7" t="s">
        <v>292</v>
      </c>
      <c r="J276" s="10" t="s">
        <v>293</v>
      </c>
    </row>
    <row r="277" spans="1:12" x14ac:dyDescent="0.25">
      <c r="A277" s="12" t="s">
        <v>19</v>
      </c>
      <c r="B277" s="2" t="s">
        <v>187</v>
      </c>
      <c r="C277" s="3" t="str">
        <f>HYPERLINK("http://www8.mpce.mp.br/Dispensa/575920103.pdf","5759/2010-3")</f>
        <v>5759/2010-3</v>
      </c>
      <c r="D277" s="4">
        <v>45785</v>
      </c>
      <c r="E277" s="17" t="str">
        <f>HYPERLINK("https://www8.mpce.mp.br/Empenhos/150001/Objeto/22-2010.pdf","EMPENHO REF. IPTU DE IMÓVEL ONDE FUNCIONA SEDE DE PROMOTORIAS DE JUSTIÇA DA COMARCA DE GUAIÚBA, CONF. CONTRATO 022/2010, REF. 2025 - PARCELA ÚNICA.")</f>
        <v>EMPENHO REF. IPTU DE IMÓVEL ONDE FUNCIONA SEDE DE PROMOTORIAS DE JUSTIÇA DA COMARCA DE GUAIÚBA, CONF. CONTRATO 022/2010, REF. 2025 - PARCELA ÚNICA.</v>
      </c>
      <c r="F277" s="2" t="s">
        <v>361</v>
      </c>
      <c r="G277" s="5" t="str">
        <f>HYPERLINK("https://siafe.sefaz.ce.gov.br/Siafe/downloadSignature?token=561b9ca5a0874ca696d9cfcf7abc0827","2025NE000903")</f>
        <v>2025NE000903</v>
      </c>
      <c r="H277" s="6">
        <v>46.82</v>
      </c>
      <c r="I277" s="7" t="s">
        <v>86</v>
      </c>
      <c r="J277" s="10" t="s">
        <v>87</v>
      </c>
      <c r="L277" s="13"/>
    </row>
    <row r="278" spans="1:12" x14ac:dyDescent="0.25">
      <c r="A278" s="12" t="s">
        <v>159</v>
      </c>
      <c r="B278" s="2" t="s">
        <v>258</v>
      </c>
      <c r="C278" s="3" t="str">
        <f>HYPERLINK("https://transparencia-area-fim.mpce.mp.br/#/consulta/processo/pastadigital/092025000085730","09.2025.00008573-0")</f>
        <v>09.2025.00008573-0</v>
      </c>
      <c r="D278" s="4">
        <v>45750</v>
      </c>
      <c r="E278" s="16" t="s">
        <v>427</v>
      </c>
      <c r="F278" s="2" t="s">
        <v>255</v>
      </c>
      <c r="G278" s="5" t="str">
        <f>HYPERLINK("https://siafe.sefaz.ce.gov.br/Siafe/downloadSignature?token=c1ace70914b642d3928d4983655f85f1","2025NE000924")</f>
        <v>2025NE000924</v>
      </c>
      <c r="H278" s="6">
        <v>74.52</v>
      </c>
      <c r="I278" s="7" t="s">
        <v>81</v>
      </c>
      <c r="J278" s="10" t="s">
        <v>297</v>
      </c>
      <c r="L278" s="13"/>
    </row>
    <row r="279" spans="1:12" x14ac:dyDescent="0.25">
      <c r="A279" s="12" t="s">
        <v>159</v>
      </c>
      <c r="B279" s="2" t="s">
        <v>258</v>
      </c>
      <c r="C279" s="3" t="str">
        <f>HYPERLINK("https://transparencia-area-fim.mpce.mp.br/#/consulta/processo/pastadigital/092025000085807","09.2025.00008580-7")</f>
        <v>09.2025.00008580-7</v>
      </c>
      <c r="D279" s="4">
        <v>45750</v>
      </c>
      <c r="E279" s="17" t="s">
        <v>428</v>
      </c>
      <c r="F279" s="2" t="s">
        <v>255</v>
      </c>
      <c r="G279" s="5" t="str">
        <f>HYPERLINK("https://siafe.sefaz.ce.gov.br/Siafe/downloadSignature?token=2b145e30d3404e7ea18ee9be296cd991","2025NE000925")</f>
        <v>2025NE000925</v>
      </c>
      <c r="H279" s="6">
        <v>373.86</v>
      </c>
      <c r="I279" s="7" t="s">
        <v>82</v>
      </c>
      <c r="J279" s="10" t="s">
        <v>299</v>
      </c>
      <c r="L279" s="13"/>
    </row>
    <row r="280" spans="1:12" x14ac:dyDescent="0.25">
      <c r="A280" s="12" t="s">
        <v>159</v>
      </c>
      <c r="B280" s="2" t="s">
        <v>258</v>
      </c>
      <c r="C280" s="3" t="str">
        <f>HYPERLINK("https://transparencia-area-fim.mpce.mp.br/#/consulta/processo/pastadigital/092025000085851","09.2025.00008585-1")</f>
        <v>09.2025.00008585-1</v>
      </c>
      <c r="D280" s="4">
        <v>45750</v>
      </c>
      <c r="E280" s="17" t="s">
        <v>429</v>
      </c>
      <c r="F280" s="2" t="s">
        <v>255</v>
      </c>
      <c r="G280" s="5" t="str">
        <f>HYPERLINK("https://siafe.sefaz.ce.gov.br/Siafe/downloadSignature?token=5231ca5f06fb49fca83f99f80ad3b0c2","2025NE000927")</f>
        <v>2025NE000927</v>
      </c>
      <c r="H280" s="6">
        <v>278.85000000000002</v>
      </c>
      <c r="I280" s="7" t="s">
        <v>61</v>
      </c>
      <c r="J280" s="10" t="s">
        <v>256</v>
      </c>
      <c r="L280" s="13"/>
    </row>
    <row r="281" spans="1:12" x14ac:dyDescent="0.25">
      <c r="A281" s="12" t="s">
        <v>159</v>
      </c>
      <c r="B281" s="2" t="s">
        <v>258</v>
      </c>
      <c r="C281" s="3" t="str">
        <f>HYPERLINK("https://transparencia-area-fim.mpce.mp.br/#/consulta/processo/pastadigital/092025000086217","09.2025.00008621-7")</f>
        <v>09.2025.00008621-7</v>
      </c>
      <c r="D281" s="4">
        <v>45750</v>
      </c>
      <c r="E281" s="16" t="s">
        <v>430</v>
      </c>
      <c r="F281" s="2" t="s">
        <v>255</v>
      </c>
      <c r="G281" s="5" t="str">
        <f>HYPERLINK("https://siafe.sefaz.ce.gov.br/Siafe/downloadSignature?token=6cff89ab9d2f4d2897f5ca84ef9aea72","2025NE000929")</f>
        <v>2025NE000929</v>
      </c>
      <c r="H281" s="6">
        <v>399.96</v>
      </c>
      <c r="I281" s="7" t="s">
        <v>64</v>
      </c>
      <c r="J281" s="10" t="s">
        <v>260</v>
      </c>
      <c r="L281" s="13"/>
    </row>
    <row r="282" spans="1:12" x14ac:dyDescent="0.25">
      <c r="A282" s="12" t="s">
        <v>159</v>
      </c>
      <c r="B282" s="2" t="s">
        <v>258</v>
      </c>
      <c r="C282" s="3" t="str">
        <f>HYPERLINK("https://transparencia-area-fim.mpce.mp.br/#/consulta/processo/pastadigital/092025000086261","09.2025.00008626-1")</f>
        <v>09.2025.00008626-1</v>
      </c>
      <c r="D282" s="4">
        <v>45750</v>
      </c>
      <c r="E282" s="17" t="s">
        <v>431</v>
      </c>
      <c r="F282" s="2" t="s">
        <v>255</v>
      </c>
      <c r="G282" s="5" t="str">
        <f>HYPERLINK("https://siafe.sefaz.ce.gov.br/Siafe/downloadSignature?token=6ac39ab9f3da46b4a117d063642cc635","2025NE000930")</f>
        <v>2025NE000930</v>
      </c>
      <c r="H282" s="6">
        <v>188.73</v>
      </c>
      <c r="I282" s="7" t="s">
        <v>65</v>
      </c>
      <c r="J282" s="10" t="s">
        <v>262</v>
      </c>
      <c r="L282" s="13"/>
    </row>
    <row r="283" spans="1:12" x14ac:dyDescent="0.25">
      <c r="A283" s="12" t="s">
        <v>159</v>
      </c>
      <c r="B283" s="2" t="s">
        <v>258</v>
      </c>
      <c r="C283" s="3" t="str">
        <f>HYPERLINK("https://transparencia-area-fim.mpce.mp.br/#/consulta/processo/pastadigital/092025000086517","09.2025.00008651-7")</f>
        <v>09.2025.00008651-7</v>
      </c>
      <c r="D283" s="4">
        <v>45750</v>
      </c>
      <c r="E283" s="16" t="s">
        <v>432</v>
      </c>
      <c r="F283" s="2" t="s">
        <v>255</v>
      </c>
      <c r="G283" s="5" t="str">
        <f>HYPERLINK("https://siafe.sefaz.ce.gov.br/Siafe/downloadSignature?token=5d5600dabddb46bf96a142aa449429ff","2025NE000931")</f>
        <v>2025NE000931</v>
      </c>
      <c r="H283" s="6">
        <v>150</v>
      </c>
      <c r="I283" s="7" t="s">
        <v>67</v>
      </c>
      <c r="J283" s="10" t="s">
        <v>267</v>
      </c>
      <c r="L283" s="13"/>
    </row>
    <row r="284" spans="1:12" x14ac:dyDescent="0.25">
      <c r="A284" s="12" t="s">
        <v>159</v>
      </c>
      <c r="B284" s="2" t="s">
        <v>258</v>
      </c>
      <c r="C284" s="3" t="str">
        <f>HYPERLINK("https://transparencia-area-fim.mpce.mp.br/#/consulta/processo/pastadigital/092025000086528","09.2025.00008652-8")</f>
        <v>09.2025.00008652-8</v>
      </c>
      <c r="D284" s="4">
        <v>45750</v>
      </c>
      <c r="E284" s="16" t="s">
        <v>433</v>
      </c>
      <c r="F284" s="2" t="s">
        <v>255</v>
      </c>
      <c r="G284" s="5" t="str">
        <f>HYPERLINK("https://siafe.sefaz.ce.gov.br/Siafe/downloadSignature?token=4848d4a555404aebbe2e9b09e5fc0ba7","2025NE000932")</f>
        <v>2025NE000932</v>
      </c>
      <c r="H284" s="6">
        <v>300</v>
      </c>
      <c r="I284" s="7" t="s">
        <v>68</v>
      </c>
      <c r="J284" s="10" t="s">
        <v>269</v>
      </c>
      <c r="L284" s="13"/>
    </row>
    <row r="285" spans="1:12" x14ac:dyDescent="0.25">
      <c r="A285" s="12" t="s">
        <v>159</v>
      </c>
      <c r="B285" s="2" t="s">
        <v>258</v>
      </c>
      <c r="C285" s="3" t="str">
        <f>HYPERLINK("https://transparencia-area-fim.mpce.mp.br/#/consulta/processo/pastadigital/092025000086540","09.2025.00008654-0")</f>
        <v>09.2025.00008654-0</v>
      </c>
      <c r="D285" s="4">
        <v>45750</v>
      </c>
      <c r="E285" s="16" t="s">
        <v>434</v>
      </c>
      <c r="F285" s="2" t="s">
        <v>255</v>
      </c>
      <c r="G285" s="5" t="str">
        <f>HYPERLINK("https://siafe.sefaz.ce.gov.br/Siafe/downloadSignature?token=7435562ca50b4b0ca26ed25d121bef71","2025NE000935")</f>
        <v>2025NE000935</v>
      </c>
      <c r="H285" s="6">
        <v>735.48</v>
      </c>
      <c r="I285" s="7" t="s">
        <v>69</v>
      </c>
      <c r="J285" s="10" t="s">
        <v>271</v>
      </c>
    </row>
    <row r="286" spans="1:12" x14ac:dyDescent="0.25">
      <c r="A286" s="12" t="s">
        <v>19</v>
      </c>
      <c r="B286" s="2" t="s">
        <v>187</v>
      </c>
      <c r="C286" s="3" t="str">
        <f>HYPERLINK("http://www8.mpce.mp.br/Dispensa/842220170.pdf","8422/20170")</f>
        <v>8422/20170</v>
      </c>
      <c r="D286" s="4">
        <v>45793</v>
      </c>
      <c r="E286" s="16" t="str">
        <f>HYPERLINK("https://www8.mpce.mp.br/Empenhos/150001/Objeto/16-2017.pdf","EMPENHO REF. IPTU DE IMÓVEL ONDE FUNCIONA SEDE DE PROMOTORIAS DE JUSTIÇA CRIMINAIS DA COMARCA DE FORTALEZA, CONF. CONTRATO 016/2017, REF. 2025 - 4ª PARCELA.")</f>
        <v>EMPENHO REF. IPTU DE IMÓVEL ONDE FUNCIONA SEDE DE PROMOTORIAS DE JUSTIÇA CRIMINAIS DA COMARCA DE FORTALEZA, CONF. CONTRATO 016/2017, REF. 2025 - 4ª PARCELA.</v>
      </c>
      <c r="F286" s="2" t="s">
        <v>323</v>
      </c>
      <c r="G286" s="5" t="str">
        <f>HYPERLINK("https://siafe.sefaz.ce.gov.br/Siafe/downloadSignature?token=f3e830bfd5cc45659238738ad5384439","2025NE000939")</f>
        <v>2025NE000939</v>
      </c>
      <c r="H286" s="6">
        <v>2742.33</v>
      </c>
      <c r="I286" s="7" t="s">
        <v>29</v>
      </c>
      <c r="J286" s="10" t="s">
        <v>158</v>
      </c>
      <c r="L286" s="13"/>
    </row>
    <row r="287" spans="1:12" x14ac:dyDescent="0.25">
      <c r="A287" s="12" t="s">
        <v>159</v>
      </c>
      <c r="B287" s="2" t="s">
        <v>435</v>
      </c>
      <c r="C287" s="3" t="str">
        <f>HYPERLINK("https://transparencia-area-fim.mpce.mp.br/#/consulta/processo/pastadigital/092024000189230","09.2024.00018923-0")</f>
        <v>09.2024.00018923-0</v>
      </c>
      <c r="D287" s="4">
        <v>45750</v>
      </c>
      <c r="E287" s="16" t="str">
        <f>HYPERLINK("https://www8.mpce.mp.br/Empenhos/150001/Objeto/98-2024.pdf","EMPENHO REF. SERVIÇO DE FORNECIMENTO DE ENERGIA ELÉTRICA, EM ALTA TENSÃO A4-HORO-SAZIONAL VERDE, POR INEXIGIBILIDADE DE LICITAÇÃO, CONF. CONTRATO 098/2024, REF. ABR, MAI E JUN/2"&amp;"025, POR ESTIMATIVA.")</f>
        <v>EMPENHO REF. SERVIÇO DE FORNECIMENTO DE ENERGIA ELÉTRICA, EM ALTA TENSÃO A4-HORO-SAZIONAL VERDE, POR INEXIGIBILIDADE DE LICITAÇÃO, CONF. CONTRATO 098/2024, REF. ABR, MAI E JUN/2025, POR ESTIMATIVA.</v>
      </c>
      <c r="F287" s="2" t="s">
        <v>309</v>
      </c>
      <c r="G287" s="5" t="str">
        <f>HYPERLINK("https://siafe.sefaz.ce.gov.br/Siafe/downloadSignature?token=67157aa4b0a44e8a80b6addf4744db88","2025NE000942")</f>
        <v>2025NE000942</v>
      </c>
      <c r="H287" s="6">
        <v>540000</v>
      </c>
      <c r="I287" s="7" t="s">
        <v>310</v>
      </c>
      <c r="J287" s="10" t="s">
        <v>311</v>
      </c>
      <c r="L287" s="13"/>
    </row>
    <row r="288" spans="1:12" x14ac:dyDescent="0.25">
      <c r="A288" s="12" t="s">
        <v>19</v>
      </c>
      <c r="B288" s="2" t="s">
        <v>187</v>
      </c>
      <c r="C288" s="3" t="str">
        <f>HYPERLINK("https://transparencia-area-fim.mpce.mp.br/#/consulta/processo/pastadigital/092021000063220","09.2021.00006322-0")</f>
        <v>09.2021.00006322-0</v>
      </c>
      <c r="D288" s="4">
        <v>45797</v>
      </c>
      <c r="E288" s="16" t="str">
        <f>HYPERLINK("https://www8.mpce.mp.br/Empenhos/150001/Objeto/33-2021.pdf","EMPENHO REF. IPTU DE IMÓVEL ONDE FUNCIONAM PROMOTORIAS DE JUSTIÇA DA COMARCA DE SOBRAL, CONF. CONTRATO 033/2021, REF. 2025 - PARCELA ÚNICA.")</f>
        <v>EMPENHO REF. IPTU DE IMÓVEL ONDE FUNCIONAM PROMOTORIAS DE JUSTIÇA DA COMARCA DE SOBRAL, CONF. CONTRATO 033/2021, REF. 2025 - PARCELA ÚNICA.</v>
      </c>
      <c r="F288" s="2" t="s">
        <v>323</v>
      </c>
      <c r="G288" s="5" t="str">
        <f>HYPERLINK("https://siafe.sefaz.ce.gov.br/Siafe/downloadSignature?token=a82577f8c4a94f96afd876bca58f9a03","2025NE000943")</f>
        <v>2025NE000943</v>
      </c>
      <c r="H288" s="6">
        <v>21429.01</v>
      </c>
      <c r="I288" s="7" t="s">
        <v>21</v>
      </c>
      <c r="J288" s="10" t="s">
        <v>140</v>
      </c>
      <c r="L288" s="13"/>
    </row>
    <row r="289" spans="1:12" x14ac:dyDescent="0.25">
      <c r="A289" s="12" t="s">
        <v>159</v>
      </c>
      <c r="B289" s="2" t="s">
        <v>220</v>
      </c>
      <c r="C289" s="3" t="str">
        <f>HYPERLINK("https://transparencia-area-fim.mpce.mp.br/#/consulta/processo/pastadigital/092024000189230","09.2024.00018923-0")</f>
        <v>09.2024.00018923-0</v>
      </c>
      <c r="D289" s="4">
        <v>45750</v>
      </c>
      <c r="E289" s="16" t="str">
        <f>HYPERLINK("https://www8.mpce.mp.br/Empenhos/150001/Objeto/84-2024.pdf","EMPENHO REF. FORNECIMENTO DE ENERGIA ELÉTRICA, EM BAIXA TENSÃO, A DIVERSAS UNIDADES DO MPCE, CONF. CONTRATO 084/2024, REF. ABR, MAI E JUN/2025, POR ESTIMATIVA.")</f>
        <v>EMPENHO REF. FORNECIMENTO DE ENERGIA ELÉTRICA, EM BAIXA TENSÃO, A DIVERSAS UNIDADES DO MPCE, CONF. CONTRATO 084/2024, REF. ABR, MAI E JUN/2025, POR ESTIMATIVA.</v>
      </c>
      <c r="F289" s="2" t="s">
        <v>309</v>
      </c>
      <c r="G289" s="5" t="str">
        <f>HYPERLINK("https://siafe.sefaz.ce.gov.br/Siafe/downloadSignature?token=b449aa5e2d2642c7b67e9117f7a3c2f9","2025NE000945")</f>
        <v>2025NE000945</v>
      </c>
      <c r="H289" s="6">
        <v>300000</v>
      </c>
      <c r="I289" s="7" t="s">
        <v>310</v>
      </c>
      <c r="J289" s="10" t="s">
        <v>311</v>
      </c>
      <c r="L289" s="13"/>
    </row>
    <row r="290" spans="1:12" x14ac:dyDescent="0.25">
      <c r="A290" s="12" t="s">
        <v>159</v>
      </c>
      <c r="B290" s="2" t="s">
        <v>258</v>
      </c>
      <c r="C290" s="3" t="str">
        <f>HYPERLINK("https://transparencia-area-fim.mpce.mp.br/#/consulta/processo/pastadigital/092025000086517","09.2025.00008651-7")</f>
        <v>09.2025.00008651-7</v>
      </c>
      <c r="D290" s="4">
        <v>45751</v>
      </c>
      <c r="E290" s="16" t="s">
        <v>436</v>
      </c>
      <c r="F290" s="2" t="s">
        <v>255</v>
      </c>
      <c r="G290" s="5" t="str">
        <f>HYPERLINK("https://siafe.sefaz.ce.gov.br/Siafe/downloadSignature?token=fe0e00198992455b876793a57597e68a","2025NE000947")</f>
        <v>2025NE000947</v>
      </c>
      <c r="H290" s="6">
        <v>150</v>
      </c>
      <c r="I290" s="7" t="s">
        <v>67</v>
      </c>
      <c r="J290" s="10" t="s">
        <v>267</v>
      </c>
    </row>
    <row r="291" spans="1:12" x14ac:dyDescent="0.25">
      <c r="A291" s="12" t="s">
        <v>19</v>
      </c>
      <c r="B291" s="2" t="s">
        <v>243</v>
      </c>
      <c r="C291" s="3" t="str">
        <f>HYPERLINK("https://transparencia-area-fim.mpce.mp.br/#/consulta/processo/pastadigital/092024000242263","09.2024.00024226-3")</f>
        <v>09.2024.00024226-3</v>
      </c>
      <c r="D291" s="4">
        <v>45751</v>
      </c>
      <c r="E291" s="16" t="str">
        <f>HYPERLINK("https://www8.mpce.mp.br/Empenhos/150001/Objeto/77-2024.pdf","EMPENHO REF. SERVIÇOS TÉCNICOS ESPECIALIZADOS, VISANDO A IMPLEMENTAÇÃO DA SOLUÇÃO DE TI - PLATAFORMA WHATSAPP, INCLUINDO A INSTALAÇÃO, ATUALIZAÇÕES E SUPORTE TÉCNICO, CONF. CONT"&amp;"RATO 077/2024, REF. ABR, MAI E JUN/2025, POR ESTIMATIVA.")</f>
        <v>EMPENHO REF. SERVIÇOS TÉCNICOS ESPECIALIZADOS, VISANDO A IMPLEMENTAÇÃO DA SOLUÇÃO DE TI - PLATAFORMA WHATSAPP, INCLUINDO A INSTALAÇÃO, ATUALIZAÇÕES E SUPORTE TÉCNICO, CONF. CONTRATO 077/2024, REF. ABR, MAI E JUN/2025, POR ESTIMATIVA.</v>
      </c>
      <c r="F291" s="2" t="s">
        <v>284</v>
      </c>
      <c r="G291" s="5" t="str">
        <f>HYPERLINK("https://siafe.sefaz.ce.gov.br/Siafe/downloadSignature?token=a20501e8d71d44a789276c1c3281c18f","2025NE000949")</f>
        <v>2025NE000949</v>
      </c>
      <c r="H291" s="6">
        <v>2721.54</v>
      </c>
      <c r="I291" s="7" t="s">
        <v>336</v>
      </c>
      <c r="J291" s="10" t="s">
        <v>337</v>
      </c>
      <c r="L291" s="13"/>
    </row>
    <row r="292" spans="1:12" x14ac:dyDescent="0.25">
      <c r="A292" s="12" t="s">
        <v>19</v>
      </c>
      <c r="B292" s="2" t="s">
        <v>187</v>
      </c>
      <c r="C292" s="3" t="str">
        <f>HYPERLINK("https://transparencia-area-fim.mpce.mp.br/#/consulta/processo/pastadigital/092022000264193","09.2022.00026419-3")</f>
        <v>09.2022.00026419-3</v>
      </c>
      <c r="D292" s="4">
        <v>45803</v>
      </c>
      <c r="E292" s="16" t="str">
        <f>HYPERLINK("https://www8.mpce.mp.br/Empenhos/150001/Objeto/28-2022.pdf","EMPENHO REF. ALUGUEL DE IMÓVEL ONDE FUNCIONA SEDE DE PROMOTORIAS DE JUSTIÇA DA COMARCA DE AURORA, CONF. 2º TERMO DE APOSTILAMENTO AO CONTRATO 028/2022, RETROATIVO A JAN, FEV E M"&amp;"AR/2025.")</f>
        <v>EMPENHO REF. ALUGUEL DE IMÓVEL ONDE FUNCIONA SEDE DE PROMOTORIAS DE JUSTIÇA DA COMARCA DE AURORA, CONF. 2º TERMO DE APOSTILAMENTO AO CONTRATO 028/2022, RETROATIVO A JAN, FEV E MAR/2025.</v>
      </c>
      <c r="F292" s="2" t="s">
        <v>31</v>
      </c>
      <c r="G292" s="5" t="str">
        <f>HYPERLINK("https://siafe.sefaz.ce.gov.br/Siafe/downloadSignature?token=8856075252044719891fdf46baf6e300","2025NE000959")</f>
        <v>2025NE000959</v>
      </c>
      <c r="H292" s="6">
        <v>249.6</v>
      </c>
      <c r="I292" s="7" t="s">
        <v>34</v>
      </c>
      <c r="J292" s="10" t="s">
        <v>167</v>
      </c>
    </row>
    <row r="293" spans="1:12" x14ac:dyDescent="0.25">
      <c r="A293" s="12" t="s">
        <v>19</v>
      </c>
      <c r="B293" s="2" t="s">
        <v>457</v>
      </c>
      <c r="C293" s="3" t="str">
        <f>HYPERLINK("https://transparencia-area-fim.mpce.mp.br/#/consulta/processo/pastadigital/092021000244282","09.2021.00024428-2")</f>
        <v>09.2021.00024428-2</v>
      </c>
      <c r="D293" s="4">
        <v>45804</v>
      </c>
      <c r="E293" s="16" t="str">
        <f>HYPERLINK("https://www8.mpce.mp.br/Empenhos/150001/Objeto/18-2022.pdf","EMPENHO DE REEMBOLSO DE IPTU/2025, PARCELA ÚNICA, REF AO IMÓVEL ONDE FUNCIONAM AS PROMOTORIAS DE JUSTIÇA DA COMARCA DE CRATEÚS, LOCALIZADO NA RUA TOBIAS SOARES RESENDE, N.° 192 "&amp;" BAIRRO MORADA DOS VENTOS, CONF. CONTRATO Nº 18/2022.")</f>
        <v>EMPENHO DE REEMBOLSO DE IPTU/2025, PARCELA ÚNICA, REF AO IMÓVEL ONDE FUNCIONAM AS PROMOTORIAS DE JUSTIÇA DA COMARCA DE CRATEÚS, LOCALIZADO NA RUA TOBIAS SOARES RESENDE, N.° 192  BAIRRO MORADA DOS VENTOS, CONF. CONTRATO Nº 18/2022.</v>
      </c>
      <c r="F293" s="2" t="s">
        <v>323</v>
      </c>
      <c r="G293" s="5" t="str">
        <f>HYPERLINK("https://siafe.sefaz.ce.gov.br/Siafe/downloadSignature?token=98eede90807b416db191a334550c46db","2025NE000966")</f>
        <v>2025NE000966</v>
      </c>
      <c r="H293" s="6">
        <v>3885.29</v>
      </c>
      <c r="I293" s="7" t="s">
        <v>21</v>
      </c>
      <c r="J293" s="10" t="s">
        <v>140</v>
      </c>
      <c r="L293" s="13"/>
    </row>
    <row r="294" spans="1:12" x14ac:dyDescent="0.25">
      <c r="A294" s="12" t="s">
        <v>159</v>
      </c>
      <c r="B294" s="2" t="s">
        <v>437</v>
      </c>
      <c r="C294" s="3" t="str">
        <f>HYPERLINK("https://transparencia-area-fim.mpce.mp.br/#/consulta/processo/pastadigital/092025000068441","09.2025.00006844-1")</f>
        <v>09.2025.00006844-1</v>
      </c>
      <c r="D294" s="4">
        <v>45756</v>
      </c>
      <c r="E294" s="16" t="s">
        <v>438</v>
      </c>
      <c r="F294" s="2" t="s">
        <v>221</v>
      </c>
      <c r="G294" s="5" t="str">
        <f>HYPERLINK("https://siafe.sefaz.ce.gov.br/Siafe/downloadSignature?token=efa900bd010647ada6993a4e5a223594","2025NE000982")</f>
        <v>2025NE000982</v>
      </c>
      <c r="H294" s="6">
        <v>8340</v>
      </c>
      <c r="I294" s="7" t="s">
        <v>439</v>
      </c>
      <c r="J294" s="10" t="s">
        <v>440</v>
      </c>
      <c r="L294" s="13"/>
    </row>
    <row r="295" spans="1:12" x14ac:dyDescent="0.25">
      <c r="A295" s="12" t="s">
        <v>19</v>
      </c>
      <c r="B295" s="2" t="s">
        <v>370</v>
      </c>
      <c r="C295" s="3" t="str">
        <f>HYPERLINK("https://transparencia-area-fim.mpce.mp.br/#/consulta/processo/pastadigital/092021000244582","09.2021.00024458-2")</f>
        <v>09.2021.00024458-2</v>
      </c>
      <c r="D295" s="4">
        <v>45806</v>
      </c>
      <c r="E295" s="16" t="str">
        <f>HYPERLINK("https://www8.mpce.mp.br/Empenhos/150001/Objeto/11-2022.pdf","EMPENHO DE RETROATIVO DO ALUGUEL REFERENTE A 23 (VINTE E TRÊS) DIAS  PROPORCIONAIS DO MÊS DE MARÇO DE 2025, RELATIVO AO IMÓVEL ONDE FUNCIONAM PROMOTORIAS DE JUSTIÇA DA COMARCA D"&amp;"E ARACATI. (REF. MÊS MARÇO DE 2025)")</f>
        <v>EMPENHO DE RETROATIVO DO ALUGUEL REFERENTE A 23 (VINTE E TRÊS) DIAS  PROPORCIONAIS DO MÊS DE MARÇO DE 2025, RELATIVO AO IMÓVEL ONDE FUNCIONAM PROMOTORIAS DE JUSTIÇA DA COMARCA DE ARACATI. (REF. MÊS MARÇO DE 2025)</v>
      </c>
      <c r="F295" s="2" t="s">
        <v>130</v>
      </c>
      <c r="G295" s="5" t="str">
        <f>HYPERLINK("https://siafe.sefaz.ce.gov.br/Siafe/downloadSignature?token=f1855e7359324ffc8ee122b0d18d7b80","2025NE000984")</f>
        <v>2025NE000984</v>
      </c>
      <c r="H295" s="6">
        <v>715.98</v>
      </c>
      <c r="I295" s="7" t="s">
        <v>24</v>
      </c>
      <c r="J295" s="10" t="s">
        <v>146</v>
      </c>
      <c r="L295" s="13"/>
    </row>
    <row r="296" spans="1:12" x14ac:dyDescent="0.25">
      <c r="A296" s="12" t="s">
        <v>159</v>
      </c>
      <c r="B296" s="2" t="s">
        <v>317</v>
      </c>
      <c r="C296" s="3" t="str">
        <f>HYPERLINK("https://transparencia-area-fim.mpce.mp.br/#/consulta/processo/pastadigital/092025000076620","09.2025.00007662-0")</f>
        <v>09.2025.00007662-0</v>
      </c>
      <c r="D296" s="4">
        <v>45757</v>
      </c>
      <c r="E296" s="16" t="s">
        <v>441</v>
      </c>
      <c r="F296" s="2" t="s">
        <v>221</v>
      </c>
      <c r="G296" s="5" t="str">
        <f>HYPERLINK("https://siafe.sefaz.ce.gov.br/Siafe/downloadSignature?token=13b6a8ca5aa64673872a6a11e304295f","2025NE000992")</f>
        <v>2025NE000992</v>
      </c>
      <c r="H296" s="6">
        <v>1380</v>
      </c>
      <c r="I296" s="7" t="s">
        <v>442</v>
      </c>
      <c r="J296" s="10" t="s">
        <v>443</v>
      </c>
      <c r="L296" s="13"/>
    </row>
    <row r="297" spans="1:12" x14ac:dyDescent="0.25">
      <c r="A297" s="12" t="s">
        <v>159</v>
      </c>
      <c r="B297" s="2" t="s">
        <v>191</v>
      </c>
      <c r="C297" s="3" t="str">
        <f>HYPERLINK("https://transparencia-area-fim.mpce.mp.br/#/consulta/processo/pastadigital/092024000115580","09.2024.00011558-0")</f>
        <v>09.2024.00011558-0</v>
      </c>
      <c r="D297" s="4">
        <v>45825</v>
      </c>
      <c r="E297" s="16" t="str">
        <f>HYPERLINK("https://www8.mpce.mp.br/Empenhos/150001/Objeto/16-2025.pdf","EMPENHO REF. ALUGUEL DE IMÓVEL ONDE FUNCIONAM PROMOTORIAS DE JUSTIÇA DA COMARCA DE NOVAS RUSSAS-CE, CONF. CONTRATO 016/2025, REF. MAI (25 DIAS PROPORCIONAIS) E JUN/2025, POR EST"&amp;"IMATIVA.")</f>
        <v>EMPENHO REF. ALUGUEL DE IMÓVEL ONDE FUNCIONAM PROMOTORIAS DE JUSTIÇA DA COMARCA DE NOVAS RUSSAS-CE, CONF. CONTRATO 016/2025, REF. MAI (25 DIAS PROPORCIONAIS) E JUN/2025, POR ESTIMATIVA.</v>
      </c>
      <c r="F297" s="2" t="s">
        <v>31</v>
      </c>
      <c r="G297" s="5" t="str">
        <f>HYPERLINK("https://siafe.sefaz.ce.gov.br/Siafe/downloadSignature?token=58d7ac955bd944d189959a26fa723442","2025NE000994")</f>
        <v>2025NE000994</v>
      </c>
      <c r="H297" s="6">
        <v>6007.8</v>
      </c>
      <c r="I297" s="7" t="s">
        <v>487</v>
      </c>
      <c r="J297" s="10" t="s">
        <v>488</v>
      </c>
      <c r="L297" s="13"/>
    </row>
    <row r="298" spans="1:12" x14ac:dyDescent="0.25">
      <c r="A298" s="12" t="s">
        <v>19</v>
      </c>
      <c r="B298" s="2" t="s">
        <v>489</v>
      </c>
      <c r="C298" s="3" t="str">
        <f>HYPERLINK("https://transparencia-area-fim.mpce.mp.br/#/consulta/processo/pastadigital/092022000091296","09.2022.00009129-6")</f>
        <v>09.2022.00009129-6</v>
      </c>
      <c r="D298" s="4">
        <v>45811</v>
      </c>
      <c r="E298" s="16" t="str">
        <f>HYPERLINK("https://www8.mpce.mp.br/Empenhos/150001/Objeto/33-2022.pdf","EMPENHO DO RETROATIVO DOS ALUGUÉIS REFERENTES AOS 23 (VINTE E TRÊS) DIAS PROPORCIONAIS DE SETEMBRO/2024, BEM COMO OS MESES INTEGRAIS DE OUTUBRO A DEZEMBRO DE 2024, CONF. CONTRAT"&amp;"O Nº 033/2022, TERMO DE RECONHECIMENTO DE DÍVIDA Nº 0024/2025/SEFIN E DEA Nº 25002091.")</f>
        <v>EMPENHO DO RETROATIVO DOS ALUGUÉIS REFERENTES AOS 23 (VINTE E TRÊS) DIAS PROPORCIONAIS DE SETEMBRO/2024, BEM COMO OS MESES INTEGRAIS DE OUTUBRO A DEZEMBRO DE 2024, CONF. CONTRATO Nº 033/2022, TERMO DE RECONHECIMENTO DE DÍVIDA Nº 0024/2025/SEFIN E DEA Nº 25002091.</v>
      </c>
      <c r="F298" s="2" t="s">
        <v>367</v>
      </c>
      <c r="G298" s="5" t="str">
        <f>HYPERLINK("https://siafe.sefaz.ce.gov.br/Siafe/downloadSignature?token=a2b1ab9833cc4f44bff6d3a5f157ef2d","2025NE000999")</f>
        <v>2025NE000999</v>
      </c>
      <c r="H298" s="6">
        <v>133.34</v>
      </c>
      <c r="I298" s="7" t="s">
        <v>33</v>
      </c>
      <c r="J298" s="10" t="s">
        <v>165</v>
      </c>
      <c r="L298" s="13"/>
    </row>
    <row r="299" spans="1:12" x14ac:dyDescent="0.25">
      <c r="A299" s="12" t="s">
        <v>19</v>
      </c>
      <c r="B299" s="2" t="s">
        <v>490</v>
      </c>
      <c r="C299" s="3" t="str">
        <f>HYPERLINK("https://transparencia-area-fim.mpce.mp.br/#/consulta/processo/pastadigital/092022000264193","09.2022.00026419-3")</f>
        <v>09.2022.00026419-3</v>
      </c>
      <c r="D299" s="4">
        <v>45811</v>
      </c>
      <c r="E299" s="16" t="str">
        <f>HYPERLINK("https://www8.mpce.mp.br/Empenhos/150001/Objeto/28-2022.pdf","RETROATIVO DO ALUGUEL REFERENTE AO PROPORCIONAL DE 29 (VINTE E NOVE) DIAS DE SETEMBRO DE 2024, BEM COMO DOS MESES INTEGRAIS DE OUTUBRO A DEZEMBRO DE 2024, REF. AO IMÓVEL ONDE FU"&amp;"NCIONAM AS PROMOTORIAS DE JUSTIÇA DA COMARCA DE AURORA/CE, CONF. CONTRATO Nº 028/2022/PGJ , TERMO DE RECONHECIMENTO DE DÍVIDA Nº 0023/2025/SEFIN E DEA Nº 2025002108.")</f>
        <v>RETROATIVO DO ALUGUEL REFERENTE AO PROPORCIONAL DE 29 (VINTE E NOVE) DIAS DE SETEMBRO DE 2024, BEM COMO DOS MESES INTEGRAIS DE OUTUBRO A DEZEMBRO DE 2024, REF. AO IMÓVEL ONDE FUNCIONAM AS PROMOTORIAS DE JUSTIÇA DA COMARCA DE AURORA/CE, CONF. CONTRATO Nº 028/2022/PGJ , TERMO DE RECONHECIMENTO DE DÍVIDA Nº 0023/2025/SEFIN E DEA Nº 2025002108.</v>
      </c>
      <c r="F299" s="2" t="s">
        <v>367</v>
      </c>
      <c r="G299" s="5" t="str">
        <f>HYPERLINK("https://siafe.sefaz.ce.gov.br/Siafe/downloadSignature?token=25ec685881b94c24a3b83ad71f68069c","2025NE001000")</f>
        <v>2025NE001000</v>
      </c>
      <c r="H299" s="6">
        <v>330.03</v>
      </c>
      <c r="I299" s="7" t="s">
        <v>34</v>
      </c>
      <c r="J299" s="10" t="s">
        <v>167</v>
      </c>
      <c r="L299" s="13"/>
    </row>
    <row r="300" spans="1:12" x14ac:dyDescent="0.25">
      <c r="A300" s="12" t="s">
        <v>19</v>
      </c>
      <c r="B300" s="2" t="s">
        <v>491</v>
      </c>
      <c r="C300" s="3" t="str">
        <f>HYPERLINK("http://www8.mpce.mp.br/Dispensa/1955220197.pdf","19552/2019-7")</f>
        <v>19552/2019-7</v>
      </c>
      <c r="D300" s="4">
        <v>45811</v>
      </c>
      <c r="E300" s="16" t="str">
        <f>HYPERLINK("https://www8.mpce.mp.br/Empenhos/150001/Objeto/85-2019.pdf","RETROATIVO DE ALUGUEL DE 19 (DEZENOVE) DIAS PROPORCIONAIS DE DEZEMBRO/2024, REF. AO IMÓVEL ONDE FUNCIONAM AS PROMOTORIAS DE JUSTIÇA DE PARAIPABA, CONF. 085/2019/PGJ , TERMO DE R"&amp;"ECONHECIMENTO DE DÍVIDA Nº 0022/2025/SEFIN E DEA Nº 25002117.")</f>
        <v>RETROATIVO DE ALUGUEL DE 19 (DEZENOVE) DIAS PROPORCIONAIS DE DEZEMBRO/2024, REF. AO IMÓVEL ONDE FUNCIONAM AS PROMOTORIAS DE JUSTIÇA DE PARAIPABA, CONF. 085/2019/PGJ , TERMO DE RECONHECIMENTO DE DÍVIDA Nº 0022/2025/SEFIN E DEA Nº 25002117.</v>
      </c>
      <c r="F300" s="2" t="s">
        <v>367</v>
      </c>
      <c r="G300" s="5" t="str">
        <f>HYPERLINK("https://siafe.sefaz.ce.gov.br/Siafe/downloadSignature?token=c912d4ebabca4e098271ffe36770ac10","2025NE001001")</f>
        <v>2025NE001001</v>
      </c>
      <c r="H300" s="6">
        <v>54.11</v>
      </c>
      <c r="I300" s="7" t="s">
        <v>41</v>
      </c>
      <c r="J300" s="10" t="s">
        <v>182</v>
      </c>
      <c r="L300" s="13"/>
    </row>
    <row r="301" spans="1:12" x14ac:dyDescent="0.25">
      <c r="A301" s="12" t="s">
        <v>19</v>
      </c>
      <c r="B301" s="2" t="s">
        <v>492</v>
      </c>
      <c r="C301" s="3" t="str">
        <f>HYPERLINK("https://transparencia-area-fim.mpce.mp.br/#/consulta/processo/pastadigital/092024000367240","09.2024.00036724-0")</f>
        <v>09.2024.00036724-0</v>
      </c>
      <c r="D301" s="4">
        <v>45811</v>
      </c>
      <c r="E301" s="16" t="str">
        <f>HYPERLINK("https://www8.mpce.mp.br/Empenhos/150001/Objeto/01-2024.pdf","PRESTAÇÃO DE SERVIÇOS TÉCNICOS ESPECIALIZADOS, SOB DEMANDA, PARA DESENVOLVER E IMPLEMENTAR PROJETOS CONTEMPLADOS PELO PROGRAMA DE TRANSFORMAÇÃO DIGITAL DO MINISTÉRIO PÚBLICO DO "&amp;"ESTADO DO CEARÁ (MPCE), DENOMINADO MPCE MAIS DIGITAL, CONF. CONTRATO Nº 101/2024..")</f>
        <v>PRESTAÇÃO DE SERVIÇOS TÉCNICOS ESPECIALIZADOS, SOB DEMANDA, PARA DESENVOLVER E IMPLEMENTAR PROJETOS CONTEMPLADOS PELO PROGRAMA DE TRANSFORMAÇÃO DIGITAL DO MINISTÉRIO PÚBLICO DO ESTADO DO CEARÁ (MPCE), DENOMINADO MPCE MAIS DIGITAL, CONF. CONTRATO Nº 101/2024..</v>
      </c>
      <c r="F301" s="2" t="s">
        <v>231</v>
      </c>
      <c r="G301" s="5" t="str">
        <f>HYPERLINK("https://siafe.sefaz.ce.gov.br/Siafe/downloadSignature?token=518906f497f14a00b553bb21e5411f59","2025NE001003")</f>
        <v>2025NE001003</v>
      </c>
      <c r="H301" s="6">
        <v>600151.03</v>
      </c>
      <c r="I301" s="7" t="s">
        <v>51</v>
      </c>
      <c r="J301" s="10" t="s">
        <v>212</v>
      </c>
      <c r="L301" s="13"/>
    </row>
    <row r="302" spans="1:12" x14ac:dyDescent="0.25">
      <c r="A302" s="12" t="s">
        <v>19</v>
      </c>
      <c r="B302" s="2" t="s">
        <v>302</v>
      </c>
      <c r="C302" s="3" t="str">
        <f>HYPERLINK("https://transparencia-area-fim.mpce.mp.br/#/consulta/processo/pastadigital/092021000349974","09.2021.00034997-4")</f>
        <v>09.2021.00034997-4</v>
      </c>
      <c r="D302" s="4">
        <v>45814</v>
      </c>
      <c r="E302" s="16" t="str">
        <f>HYPERLINK("https://www8.mpce.mp.br/Empenhos/150001/Objeto/01-2022.pdf","EMPENHO REF. SUPORTE TÉCNICO PARA DESENVOLVIMENTO E IMPLEMENTAÇÃO DE CAMADA DE INTEROPERABILIDADE, INCLUINDO SERVIÇOS DE INTEGRAÇÃO DE SISTEMAS, CONF. CONTRATO 001/2022, REF. JU"&amp;"L/2025, POR ESTIMATIVA.")</f>
        <v>EMPENHO REF. SUPORTE TÉCNICO PARA DESENVOLVIMENTO E IMPLEMENTAÇÃO DE CAMADA DE INTEROPERABILIDADE, INCLUINDO SERVIÇOS DE INTEGRAÇÃO DE SISTEMAS, CONF. CONTRATO 001/2022, REF. JUL/2025, POR ESTIMATIVA.</v>
      </c>
      <c r="F302" s="2" t="s">
        <v>231</v>
      </c>
      <c r="G302" s="5" t="str">
        <f>HYPERLINK("https://siafe.sefaz.ce.gov.br/Siafe/downloadSignature?token=4ec0b71e75154d178bd26aadaa0e5781","2025NE001022")</f>
        <v>2025NE001022</v>
      </c>
      <c r="H302" s="6">
        <v>73344</v>
      </c>
      <c r="I302" s="7" t="s">
        <v>51</v>
      </c>
      <c r="J302" s="10" t="s">
        <v>212</v>
      </c>
      <c r="L302" s="13"/>
    </row>
    <row r="303" spans="1:12" x14ac:dyDescent="0.25">
      <c r="A303" s="12" t="s">
        <v>19</v>
      </c>
      <c r="B303" s="2" t="s">
        <v>493</v>
      </c>
      <c r="C303" s="3" t="str">
        <f>HYPERLINK("https://transparencia-area-fim.mpce.mp.br/#/consulta/processo/pastadigital/092022000081432","09.2022.00008143-2")</f>
        <v>09.2022.00008143-2</v>
      </c>
      <c r="D303" s="4">
        <v>45817</v>
      </c>
      <c r="E303" s="16" t="str">
        <f>HYPERLINK("https://www8.mpce.mp.br/Empenhos/150001/Objeto/16-2022.pdf","EMPENHO DE REEMBOLSO DE IPTU/2025, PARCELA ÚNICA, DO IMÓVEL ONDE FUNCIONAM AS PROMOTORIAS DE JUSTIÇA DA COMARCA DE BARBALHA, LOCALIZADO NA RUA RAIMUNDO SÁ (ANTIGA 15 DE NOVEMBRO"&amp;"), N.º 231  BAIRRO CENTRO, CONF. CONTRATO Nº 016/2022/PGJ.")</f>
        <v>EMPENHO DE REEMBOLSO DE IPTU/2025, PARCELA ÚNICA, DO IMÓVEL ONDE FUNCIONAM AS PROMOTORIAS DE JUSTIÇA DA COMARCA DE BARBALHA, LOCALIZADO NA RUA RAIMUNDO SÁ (ANTIGA 15 DE NOVEMBRO), N.º 231  BAIRRO CENTRO, CONF. CONTRATO Nº 016/2022/PGJ.</v>
      </c>
      <c r="F303" s="2" t="s">
        <v>323</v>
      </c>
      <c r="G303" s="5" t="str">
        <f>HYPERLINK("https://siafe.sefaz.ce.gov.br/Siafe/downloadSignature?token=c23e2b2d5aea422ca238ec15175ef988","2025NE001024")</f>
        <v>2025NE001024</v>
      </c>
      <c r="H303" s="6">
        <v>1059.73</v>
      </c>
      <c r="I303" s="7" t="s">
        <v>20</v>
      </c>
      <c r="J303" s="10" t="s">
        <v>138</v>
      </c>
      <c r="L303" s="13"/>
    </row>
    <row r="304" spans="1:12" x14ac:dyDescent="0.25">
      <c r="A304" s="12" t="s">
        <v>19</v>
      </c>
      <c r="B304" s="2" t="s">
        <v>200</v>
      </c>
      <c r="C304" s="3" t="str">
        <f>HYPERLINK("https://transparencia-area-fim.mpce.mp.br/#/consulta/processo/pastadigital/092025000080001","09.2025.00008000-1")</f>
        <v>09.2025.00008000-1</v>
      </c>
      <c r="D304" s="4">
        <v>45761</v>
      </c>
      <c r="E304" s="17" t="s">
        <v>444</v>
      </c>
      <c r="F304" s="2" t="s">
        <v>395</v>
      </c>
      <c r="G304" s="5" t="str">
        <f>HYPERLINK("https://siafe.sefaz.ce.gov.br/Siafe/downloadSignature?token=a198b558d44548c59791a74c53b20bae","2025NE001026")</f>
        <v>2025NE001026</v>
      </c>
      <c r="H304" s="6">
        <v>6700</v>
      </c>
      <c r="I304" s="7" t="s">
        <v>396</v>
      </c>
      <c r="J304" s="10" t="s">
        <v>397</v>
      </c>
      <c r="L304" s="13"/>
    </row>
    <row r="305" spans="1:12" x14ac:dyDescent="0.25">
      <c r="A305" s="12" t="s">
        <v>19</v>
      </c>
      <c r="B305" s="2" t="s">
        <v>187</v>
      </c>
      <c r="C305" s="3" t="str">
        <f>HYPERLINK("http://www8.mpce.mp.br/Dispensa/842220170.pdf","8422/20170")</f>
        <v>8422/20170</v>
      </c>
      <c r="D305" s="4">
        <v>45821</v>
      </c>
      <c r="E305" s="16" t="str">
        <f>HYPERLINK("https://www8.mpce.mp.br/Empenhos/150001/Objeto/16-2017.pdf","EMPENHO REF. IPTU DE IMÓVEL ONDE FUNCIONA SEDE DE PROMOTORIAS DE JUSTIÇA CRIMINAIS DA COMARCA DE FORTALEZA, CONF. CONTRATO 016/2017, REF. 2025 - 5ª 11ª PARCELAS.")</f>
        <v>EMPENHO REF. IPTU DE IMÓVEL ONDE FUNCIONA SEDE DE PROMOTORIAS DE JUSTIÇA CRIMINAIS DA COMARCA DE FORTALEZA, CONF. CONTRATO 016/2017, REF. 2025 - 5ª 11ª PARCELAS.</v>
      </c>
      <c r="F305" s="2" t="s">
        <v>323</v>
      </c>
      <c r="G305" s="5" t="str">
        <f>HYPERLINK("https://siafe.sefaz.ce.gov.br/Siafe/downloadSignature?token=200abd687c514f158d5d7765b717bd99","2025NE001042")</f>
        <v>2025NE001042</v>
      </c>
      <c r="H305" s="6">
        <v>19196.310000000001</v>
      </c>
      <c r="I305" s="7" t="s">
        <v>29</v>
      </c>
      <c r="J305" s="10" t="s">
        <v>158</v>
      </c>
      <c r="L305" s="13"/>
    </row>
    <row r="306" spans="1:12" x14ac:dyDescent="0.25">
      <c r="A306" s="12" t="s">
        <v>19</v>
      </c>
      <c r="B306" s="2" t="s">
        <v>187</v>
      </c>
      <c r="C306" s="3" t="str">
        <f>HYPERLINK("http://www8.mpce.mp.br/Dispensa/1955220197.pdf","19552/2019-7")</f>
        <v>19552/2019-7</v>
      </c>
      <c r="D306" s="4">
        <v>45821</v>
      </c>
      <c r="E306" s="16" t="str">
        <f>HYPERLINK("https://www8.mpce.mp.br/Empenhos/150001/Objeto/85-2019.pdf","EMPENHO REF. IPTU DE IMÓVEL ONDE FUNCIONAM PROMOTORIAS DE JUSTIÇA DA COMARCA DE PARAIPABA, CONF. CONTRATO 085/2019, REF. IPTU 2025 - PARCELA ÚNICA.")</f>
        <v>EMPENHO REF. IPTU DE IMÓVEL ONDE FUNCIONAM PROMOTORIAS DE JUSTIÇA DA COMARCA DE PARAIPABA, CONF. CONTRATO 085/2019, REF. IPTU 2025 - PARCELA ÚNICA.</v>
      </c>
      <c r="F306" s="2" t="s">
        <v>361</v>
      </c>
      <c r="G306" s="5" t="str">
        <f>HYPERLINK("https://siafe.sefaz.ce.gov.br/Siafe/downloadSignature?token=0254956e2db84854a8cc359603c6983f","2025NE001043")</f>
        <v>2025NE001043</v>
      </c>
      <c r="H306" s="6">
        <v>105.13</v>
      </c>
      <c r="I306" s="7" t="s">
        <v>41</v>
      </c>
      <c r="J306" s="10" t="s">
        <v>182</v>
      </c>
      <c r="L306" s="13"/>
    </row>
    <row r="307" spans="1:12" x14ac:dyDescent="0.25">
      <c r="A307" s="12" t="s">
        <v>19</v>
      </c>
      <c r="B307" s="2" t="s">
        <v>494</v>
      </c>
      <c r="C307" s="3" t="str">
        <f>HYPERLINK("https://transparencia-area-fim.mpce.mp.br/#/consulta/processo/pastadigital/092022000264193","09.2022.00026419-3")</f>
        <v>09.2022.00026419-3</v>
      </c>
      <c r="D307" s="4">
        <v>45824</v>
      </c>
      <c r="E307" s="16" t="str">
        <f>HYPERLINK("https://www8.mpce.mp.br/Empenhos/150001/Objeto/28-2022.pdf","RETROATIVO DE ALUGUEL DE ABR A JUN DE 2025, REF. AO IMÓVEL ONDE FUNCIONAM AS PROMOTORIAS DE JUSTIÇA DA COMARCA DE AURORA-CE, CONF. 028/2022/PGJ")</f>
        <v>RETROATIVO DE ALUGUEL DE ABR A JUN DE 2025, REF. AO IMÓVEL ONDE FUNCIONAM AS PROMOTORIAS DE JUSTIÇA DA COMARCA DE AURORA-CE, CONF. 028/2022/PGJ</v>
      </c>
      <c r="F307" s="2" t="s">
        <v>31</v>
      </c>
      <c r="G307" s="5" t="str">
        <f>HYPERLINK("https://siafe.sefaz.ce.gov.br/Siafe/downloadSignature?token=d47783d781db484581b98b694a3fd9c1","2025NE001046")</f>
        <v>2025NE001046</v>
      </c>
      <c r="H307" s="6">
        <v>249.6</v>
      </c>
      <c r="I307" s="7" t="s">
        <v>34</v>
      </c>
      <c r="J307" s="10" t="s">
        <v>167</v>
      </c>
      <c r="L307" s="13"/>
    </row>
    <row r="308" spans="1:12" x14ac:dyDescent="0.25">
      <c r="A308" s="12" t="s">
        <v>19</v>
      </c>
      <c r="B308" s="2" t="s">
        <v>445</v>
      </c>
      <c r="C308" s="3" t="str">
        <f>HYPERLINK("https://transparencia-area-fim.mpce.mp.br/#/consulta/processo/pastadigital/092025000100203","09.2025.00010020-3")</f>
        <v>09.2025.00010020-3</v>
      </c>
      <c r="D308" s="4">
        <v>45763</v>
      </c>
      <c r="E308" s="16" t="s">
        <v>446</v>
      </c>
      <c r="F308" s="2" t="s">
        <v>364</v>
      </c>
      <c r="G308" s="5" t="str">
        <f>HYPERLINK("https://siafe.sefaz.ce.gov.br/Siafe/downloadSignature?token=39b9c28d82a049cbb0191139a299cdcb","2025NE001067")</f>
        <v>2025NE001067</v>
      </c>
      <c r="H308" s="6">
        <v>948</v>
      </c>
      <c r="I308" s="7" t="s">
        <v>447</v>
      </c>
      <c r="J308" s="10" t="s">
        <v>448</v>
      </c>
      <c r="L308" s="13"/>
    </row>
    <row r="309" spans="1:12" x14ac:dyDescent="0.25">
      <c r="A309" s="12" t="s">
        <v>19</v>
      </c>
      <c r="B309" s="2" t="s">
        <v>495</v>
      </c>
      <c r="C309" s="3" t="str">
        <f>HYPERLINK("https://transparencia-area-fim.mpce.mp.br/#/consulta/processo/pastadigital/092022000081432","09.2022.00008143-2")</f>
        <v>09.2022.00008143-2</v>
      </c>
      <c r="D309" s="4">
        <v>45825</v>
      </c>
      <c r="E309" s="16" t="str">
        <f>HYPERLINK("https://www8.mpce.mp.br/Empenhos/150001/Objeto/16-2022.pdf","RETROATIVO DE ALUGUÉIS REFERENTE AOS 11 (ONZE  DIAS) PROPORCIONAIS DE MAIO/2025, BEM COMO O MÊS INTEGRAL DE JUNHO DE 2025, REF. AO IMÓVEL ONDE FUNCIONAM AS PROMOTORIAS DE JUSTIÇ"&amp;"A DA COMARCA DE BARBALHA, CONF. CONTRATO Nº 016/2022.")</f>
        <v>RETROATIVO DE ALUGUÉIS REFERENTE AOS 11 (ONZE  DIAS) PROPORCIONAIS DE MAIO/2025, BEM COMO O MÊS INTEGRAL DE JUNHO DE 2025, REF. AO IMÓVEL ONDE FUNCIONAM AS PROMOTORIAS DE JUSTIÇA DA COMARCA DE BARBALHA, CONF. CONTRATO Nº 016/2022.</v>
      </c>
      <c r="F309" s="2" t="s">
        <v>130</v>
      </c>
      <c r="G309" s="5" t="str">
        <f>HYPERLINK("https://siafe.sefaz.ce.gov.br/Siafe/downloadSignature?token=e6f18f5d093445778491c8f512014fbb","2025NE001068")</f>
        <v>2025NE001068</v>
      </c>
      <c r="H309" s="6">
        <v>1242.04</v>
      </c>
      <c r="I309" s="7" t="s">
        <v>20</v>
      </c>
      <c r="J309" s="10" t="s">
        <v>138</v>
      </c>
      <c r="L309" s="13"/>
    </row>
    <row r="310" spans="1:12" x14ac:dyDescent="0.25">
      <c r="A310" s="12" t="s">
        <v>19</v>
      </c>
      <c r="B310" s="2" t="s">
        <v>496</v>
      </c>
      <c r="C310" s="3" t="str">
        <f>HYPERLINK("https://transparencia-area-fim.mpce.mp.br/#/consulta/processo/pastadigital/092021000020552","09.2021.00002055-2")</f>
        <v>09.2021.00002055-2</v>
      </c>
      <c r="D310" s="4">
        <v>45831</v>
      </c>
      <c r="E310" s="16" t="str">
        <f>HYPERLINK("https://www8.mpce.mp.br/Empenhos/150001/Objeto/24-2021.pdf","EMPENHO REF. SERVIÇOS DE CONSULTORIA - 5ª E 6ª ETAPAS: TREINAMENTO E SUPORTE TÉCNICO REMOTO, CONF. CONTRATO 024/2021 E ORDEM DE SERVIÇO S/N/2025/SEGEP.")</f>
        <v>EMPENHO REF. SERVIÇOS DE CONSULTORIA - 5ª E 6ª ETAPAS: TREINAMENTO E SUPORTE TÉCNICO REMOTO, CONF. CONTRATO 024/2021 E ORDEM DE SERVIÇO S/N/2025/SEGEP.</v>
      </c>
      <c r="F310" s="2" t="s">
        <v>169</v>
      </c>
      <c r="G310" s="5" t="str">
        <f>HYPERLINK("https://siafe.sefaz.ce.gov.br/Siafe/downloadSignature?token=e32aad7fc6bb4d1883b4cbe442dd64ca","2025NE001076")</f>
        <v>2025NE001076</v>
      </c>
      <c r="H310" s="6">
        <v>42848.45</v>
      </c>
      <c r="I310" s="7" t="s">
        <v>497</v>
      </c>
      <c r="J310" s="10" t="s">
        <v>498</v>
      </c>
    </row>
    <row r="311" spans="1:12" x14ac:dyDescent="0.25">
      <c r="A311" s="12" t="s">
        <v>19</v>
      </c>
      <c r="B311" s="2" t="s">
        <v>380</v>
      </c>
      <c r="C311" s="3" t="str">
        <f>HYPERLINK("https://transparencia-area-fim.mpce.mp.br/#/consulta/processo/pastadigital/092021000244449","09.2021.00024444-9")</f>
        <v>09.2021.00024444-9</v>
      </c>
      <c r="D311" s="4">
        <v>45831</v>
      </c>
      <c r="E311" s="16" t="str">
        <f>HYPERLINK("https://www8.mpce.mp.br/Empenhos/150001/Objeto/12-2022.pdf","EMPENHO REF. REAJUSTE RETROATIVO DE ALUGUEL DE IMÓVEL ONDE FUNCIONAM PROMOTORIAS DE JUSTIÇA DA COMARCA DE RUSSAS, CONF. CONTRATO 012/2022, REF. JAN, FEV E MAR/2025.")</f>
        <v>EMPENHO REF. REAJUSTE RETROATIVO DE ALUGUEL DE IMÓVEL ONDE FUNCIONAM PROMOTORIAS DE JUSTIÇA DA COMARCA DE RUSSAS, CONF. CONTRATO 012/2022, REF. JAN, FEV E MAR/2025.</v>
      </c>
      <c r="F311" s="2" t="s">
        <v>130</v>
      </c>
      <c r="G311" s="5" t="str">
        <f>HYPERLINK("https://siafe.sefaz.ce.gov.br/Siafe/downloadSignature?token=28dc0cbee92143edb5b92bc9fa773001","2025NE001077")</f>
        <v>2025NE001077</v>
      </c>
      <c r="H311" s="6">
        <v>3055.29</v>
      </c>
      <c r="I311" s="7" t="s">
        <v>23</v>
      </c>
      <c r="J311" s="10" t="s">
        <v>135</v>
      </c>
      <c r="L311" s="13"/>
    </row>
    <row r="312" spans="1:12" x14ac:dyDescent="0.25">
      <c r="A312" s="12" t="s">
        <v>19</v>
      </c>
      <c r="B312" s="2" t="s">
        <v>499</v>
      </c>
      <c r="C312" s="3" t="str">
        <f>HYPERLINK("http://www8.mpce.mp.br/Dispensa/1955220197.pdf","19552/2019-7")</f>
        <v>19552/2019-7</v>
      </c>
      <c r="D312" s="4">
        <v>45832</v>
      </c>
      <c r="E312" s="16" t="str">
        <f>HYPERLINK("https://www8.mpce.mp.br/Empenhos/150001/Objeto/85-2019.pdf","EMPENHO DOS ALUGUÉIS DOS MESES DE JULHO A SETEMBRO DE 2025, REF. AO IMÓVEL ONDE FUNCIONAM AS PROMOTORIAS  DE JUSTIÇA DA COMARCA DE PARAIPABA, CONF. 085/2019.")</f>
        <v>EMPENHO DOS ALUGUÉIS DOS MESES DE JULHO A SETEMBRO DE 2025, REF. AO IMÓVEL ONDE FUNCIONAM AS PROMOTORIAS  DE JUSTIÇA DA COMARCA DE PARAIPABA, CONF. 085/2019.</v>
      </c>
      <c r="F312" s="2" t="s">
        <v>31</v>
      </c>
      <c r="G312" s="5" t="str">
        <f>HYPERLINK("https://siafe.sefaz.ce.gov.br/Siafe/downloadSignature?token=5a75dc695e344cafa1bb23cd83093131","2025NE001080")</f>
        <v>2025NE001080</v>
      </c>
      <c r="H312" s="6">
        <v>4176.3900000000003</v>
      </c>
      <c r="I312" s="7" t="s">
        <v>41</v>
      </c>
      <c r="J312" s="10" t="s">
        <v>182</v>
      </c>
      <c r="L312" s="13"/>
    </row>
    <row r="313" spans="1:12" x14ac:dyDescent="0.25">
      <c r="A313" s="12" t="s">
        <v>19</v>
      </c>
      <c r="B313" s="2" t="s">
        <v>500</v>
      </c>
      <c r="C313" s="3" t="str">
        <f>HYPERLINK("http://www8.mpce.mp.br/Dispensa/2004820193.pdf","20048/2019-3")</f>
        <v>20048/2019-3</v>
      </c>
      <c r="D313" s="4">
        <v>45832</v>
      </c>
      <c r="E313" s="16" t="str">
        <f>HYPERLINK("https://www8.mpce.mp.br/Empenhos/150001/Objeto/84-2019.pdf","EMPENHO DOS ALUGUÉIS DOS MESES DE JULHO A SETEMBRO DE 2025 DO IMÓVEL ONDE FUNCIONAM AS PROMOTORIAS DE JUSTIÇA DA COMARCA DE MOMBAÇA, CONF. CONTRATO Nº 084/2019.")</f>
        <v>EMPENHO DOS ALUGUÉIS DOS MESES DE JULHO A SETEMBRO DE 2025 DO IMÓVEL ONDE FUNCIONAM AS PROMOTORIAS DE JUSTIÇA DA COMARCA DE MOMBAÇA, CONF. CONTRATO Nº 084/2019.</v>
      </c>
      <c r="F313" s="2" t="s">
        <v>31</v>
      </c>
      <c r="G313" s="5" t="str">
        <f>HYPERLINK("https://siafe.sefaz.ce.gov.br/Siafe/downloadSignature?token=996461f7f8594018ad9c03232c90e2df","2025NE001082")</f>
        <v>2025NE001082</v>
      </c>
      <c r="H313" s="6">
        <v>12000</v>
      </c>
      <c r="I313" s="7" t="s">
        <v>42</v>
      </c>
      <c r="J313" s="10" t="s">
        <v>184</v>
      </c>
      <c r="L313" s="13"/>
    </row>
    <row r="314" spans="1:12" x14ac:dyDescent="0.25">
      <c r="A314" s="12" t="s">
        <v>19</v>
      </c>
      <c r="B314" s="2" t="s">
        <v>501</v>
      </c>
      <c r="C314" s="3" t="str">
        <f>HYPERLINK("http://www8.mpce.mp.br/Dispensa/4503020176.pdf","45030/2017-6")</f>
        <v>45030/2017-6</v>
      </c>
      <c r="D314" s="4">
        <v>45832</v>
      </c>
      <c r="E314" s="16" t="str">
        <f>HYPERLINK("https://www8.mpce.mp.br/Empenhos/150001/Objeto/74-2019.pdf","EMPENHO DOS ALUGUÉIS DOS MESES DE JULHO A SETEMBRO DE 2025, REF. AO IMÓVEL ONDE FUNCIONAM AS PROMOTORIAS DE JUSTIÇA DA COMARCA DE GRANJA, CONF. CONTRATO Nº 074/2019")</f>
        <v>EMPENHO DOS ALUGUÉIS DOS MESES DE JULHO A SETEMBRO DE 2025, REF. AO IMÓVEL ONDE FUNCIONAM AS PROMOTORIAS DE JUSTIÇA DA COMARCA DE GRANJA, CONF. CONTRATO Nº 074/2019</v>
      </c>
      <c r="F314" s="2" t="s">
        <v>31</v>
      </c>
      <c r="G314" s="5" t="str">
        <f>HYPERLINK("https://siafe.sefaz.ce.gov.br/Siafe/downloadSignature?token=b34d82a7b3ac489f8020812f00fb5d92","2025NE001084")</f>
        <v>2025NE001084</v>
      </c>
      <c r="H314" s="6">
        <v>7006.92</v>
      </c>
      <c r="I314" s="7" t="s">
        <v>95</v>
      </c>
      <c r="J314" s="10" t="s">
        <v>96</v>
      </c>
      <c r="L314" s="13"/>
    </row>
    <row r="315" spans="1:12" x14ac:dyDescent="0.25">
      <c r="A315" s="12" t="s">
        <v>19</v>
      </c>
      <c r="B315" s="2" t="s">
        <v>502</v>
      </c>
      <c r="C315" s="3" t="str">
        <f>HYPERLINK("http://www8.mpce.mp.br/Dispensa/2150720189.pdf","21507/2018-9")</f>
        <v>21507/2018-9</v>
      </c>
      <c r="D315" s="4">
        <v>45832</v>
      </c>
      <c r="E315" s="16" t="str">
        <f>HYPERLINK("https://www8.mpce.mp.br/Empenhos/150001/Objeto/51-2019.pdf","EMPENHO DOS ALUGUÉIS DOS MESES DE JULHO A SETEMBRO DE 2025, DO IMÓVEL ONDE FUNCIONAM AS PROMOTORIAS DE JUSTIÇA DA COMARCA DE VIÇOSA DO CEARÁ, CONF. CONTRATO Nº 051/2019.")</f>
        <v>EMPENHO DOS ALUGUÉIS DOS MESES DE JULHO A SETEMBRO DE 2025, DO IMÓVEL ONDE FUNCIONAM AS PROMOTORIAS DE JUSTIÇA DA COMARCA DE VIÇOSA DO CEARÁ, CONF. CONTRATO Nº 051/2019.</v>
      </c>
      <c r="F315" s="2" t="s">
        <v>31</v>
      </c>
      <c r="G315" s="5" t="str">
        <f>HYPERLINK("https://siafe.sefaz.ce.gov.br/Siafe/downloadSignature?token=8ecbbb8021d5497787072ddf7c6838c8","2025NE001085")</f>
        <v>2025NE001085</v>
      </c>
      <c r="H315" s="6">
        <v>8807.1299999999992</v>
      </c>
      <c r="I315" s="7" t="s">
        <v>98</v>
      </c>
      <c r="J315" s="10" t="s">
        <v>102</v>
      </c>
      <c r="L315" s="13"/>
    </row>
    <row r="316" spans="1:12" x14ac:dyDescent="0.25">
      <c r="A316" s="12" t="s">
        <v>19</v>
      </c>
      <c r="B316" s="2" t="s">
        <v>503</v>
      </c>
      <c r="C316" s="3" t="str">
        <f>HYPERLINK("http://www8.mpce.mp.br/Dispensa/146020136.pdf","1460/2013-6")</f>
        <v>1460/2013-6</v>
      </c>
      <c r="D316" s="4">
        <v>45832</v>
      </c>
      <c r="E316" s="16" t="str">
        <f>HYPERLINK("https://www8.mpce.mp.br/Empenhos/150001/Objeto/39-2013.pdf","EMPENHO DOS ALUGUÉIS DOS MESES DE JULHO A SETEMBRO DE 2025, REF. AO IMÓVEL ONDE FUNCIONAM AS PROMOTORIAS DE JUSTIÇA DA COMARCA DE CASCAVEL, CONF. 039/2013.")</f>
        <v>EMPENHO DOS ALUGUÉIS DOS MESES DE JULHO A SETEMBRO DE 2025, REF. AO IMÓVEL ONDE FUNCIONAM AS PROMOTORIAS DE JUSTIÇA DA COMARCA DE CASCAVEL, CONF. 039/2013.</v>
      </c>
      <c r="F316" s="2" t="s">
        <v>31</v>
      </c>
      <c r="G316" s="5" t="str">
        <f>HYPERLINK("https://siafe.sefaz.ce.gov.br/Siafe/downloadSignature?token=4c73387259b241438b466d9c7d1cf62b","2025NE001086")</f>
        <v>2025NE001086</v>
      </c>
      <c r="H316" s="6">
        <v>13024.68</v>
      </c>
      <c r="I316" s="7" t="s">
        <v>88</v>
      </c>
      <c r="J316" s="10" t="s">
        <v>89</v>
      </c>
      <c r="L316" s="13"/>
    </row>
    <row r="317" spans="1:12" x14ac:dyDescent="0.25">
      <c r="A317" s="12" t="s">
        <v>159</v>
      </c>
      <c r="B317" s="2" t="s">
        <v>504</v>
      </c>
      <c r="C317" s="3" t="str">
        <f>HYPERLINK("https://transparencia-area-fim.mpce.mp.br/#/consulta/processo/pastadigital/092024000240032","09.2024.00024003-2")</f>
        <v>09.2024.00024003-2</v>
      </c>
      <c r="D317" s="4">
        <v>45832</v>
      </c>
      <c r="E317" s="16" t="str">
        <f>HYPERLINK("https://www8.mpce.mp.br/Empenhos/150001/Objeto/93-2024.pdf","EMPENHO DE ALUGUÉIS DOS MESES DE JULHO A SETEMBRO DE 2025, REF. AO IMÓVEL ONDE FUNCIONAM AS PROMOTORIAS DE JUSTIÇA DA COMARCA DE IPU, CONF. CONTRATO 093/2024.")</f>
        <v>EMPENHO DE ALUGUÉIS DOS MESES DE JULHO A SETEMBRO DE 2025, REF. AO IMÓVEL ONDE FUNCIONAM AS PROMOTORIAS DE JUSTIÇA DA COMARCA DE IPU, CONF. CONTRATO 093/2024.</v>
      </c>
      <c r="F317" s="2" t="s">
        <v>31</v>
      </c>
      <c r="G317" s="5" t="str">
        <f>HYPERLINK("https://siafe.sefaz.ce.gov.br/Siafe/downloadSignature?token=3c3bc972ca6642f4a327ddd9c180747f","2025NE001087")</f>
        <v>2025NE001087</v>
      </c>
      <c r="H317" s="6">
        <v>11451</v>
      </c>
      <c r="I317" s="7" t="s">
        <v>208</v>
      </c>
      <c r="J317" s="10" t="s">
        <v>209</v>
      </c>
      <c r="L317" s="13"/>
    </row>
    <row r="318" spans="1:12" x14ac:dyDescent="0.25">
      <c r="A318" s="12" t="s">
        <v>159</v>
      </c>
      <c r="B318" s="2" t="s">
        <v>505</v>
      </c>
      <c r="C318" s="3" t="str">
        <f>HYPERLINK("https://transparencia-area-fim.mpce.mp.br/#/consulta/processo/pastadigital/092022000371847","09.2022.00037184-7")</f>
        <v>09.2022.00037184-7</v>
      </c>
      <c r="D318" s="4">
        <v>45832</v>
      </c>
      <c r="E318" s="16" t="str">
        <f>HYPERLINK("https://www8.mpce.mp.br/Empenhos/150001/Objeto/44-2023.pdf","EMPENHO DOS ALUGUÉIS DOS MESES DE JULHO A SETEMBRO DE 2025, REF. AO IMÓVEL ONDE FUNCIONAM AS PROMOTORIAS DE JUSTIÇA DA COMARCA DE MARCO, CONF. CONTRATO Nº 044/2023.")</f>
        <v>EMPENHO DOS ALUGUÉIS DOS MESES DE JULHO A SETEMBRO DE 2025, REF. AO IMÓVEL ONDE FUNCIONAM AS PROMOTORIAS DE JUSTIÇA DA COMARCA DE MARCO, CONF. CONTRATO Nº 044/2023.</v>
      </c>
      <c r="F318" s="2" t="s">
        <v>31</v>
      </c>
      <c r="G318" s="5" t="str">
        <f>HYPERLINK("https://siafe.sefaz.ce.gov.br/Siafe/downloadSignature?token=57de4a13f3a6443c8428588d294f2b4c","2025NE001088")</f>
        <v>2025NE001088</v>
      </c>
      <c r="H318" s="6">
        <v>3600</v>
      </c>
      <c r="I318" s="7" t="s">
        <v>44</v>
      </c>
      <c r="J318" s="10" t="s">
        <v>192</v>
      </c>
      <c r="L318" s="13"/>
    </row>
    <row r="319" spans="1:12" x14ac:dyDescent="0.25">
      <c r="A319" s="12" t="s">
        <v>159</v>
      </c>
      <c r="B319" s="2" t="s">
        <v>401</v>
      </c>
      <c r="C319" s="3" t="str">
        <f>HYPERLINK("https://transparencia-area-fim.mpce.mp.br/#/consulta/processo/pastadigital/092022000409094","09.2022.00040909-4")</f>
        <v>09.2022.00040909-4</v>
      </c>
      <c r="D319" s="4">
        <v>45832</v>
      </c>
      <c r="E319" s="16" t="str">
        <f>HYPERLINK("https://www8.mpce.mp.br/Empenhos/150001/Objeto/41-2023.pdf","EMPENHO DOS ALUGUÉIS DOS MESES DE JULHO A SETEMBRO DE 2025, REF. AO IMÓVEL ONDE FUNCIONAM AS PROMOTORIAS DE JUSTIÇA DA COMARCA DE GUARACIABA DO NORTE, CONF. 041/2023.")</f>
        <v>EMPENHO DOS ALUGUÉIS DOS MESES DE JULHO A SETEMBRO DE 2025, REF. AO IMÓVEL ONDE FUNCIONAM AS PROMOTORIAS DE JUSTIÇA DA COMARCA DE GUARACIABA DO NORTE, CONF. 041/2023.</v>
      </c>
      <c r="F319" s="2" t="s">
        <v>31</v>
      </c>
      <c r="G319" s="5" t="str">
        <f>HYPERLINK("https://siafe.sefaz.ce.gov.br/Siafe/downloadSignature?token=63bd2a2339ac4b4c88810188c5d2963d","2025NE001090")</f>
        <v>2025NE001090</v>
      </c>
      <c r="H319" s="6">
        <v>6900</v>
      </c>
      <c r="I319" s="7" t="s">
        <v>45</v>
      </c>
      <c r="J319" s="10" t="s">
        <v>193</v>
      </c>
      <c r="L319" s="13"/>
    </row>
    <row r="320" spans="1:12" x14ac:dyDescent="0.25">
      <c r="A320" s="12" t="s">
        <v>159</v>
      </c>
      <c r="B320" s="2" t="s">
        <v>506</v>
      </c>
      <c r="C320" s="3" t="str">
        <f>HYPERLINK("https://transparencia-area-fim.mpce.mp.br/#/consulta/processo/pastadigital/092024000173970","09.2024.00017397-0")</f>
        <v>09.2024.00017397-0</v>
      </c>
      <c r="D320" s="4">
        <v>45832</v>
      </c>
      <c r="E320" s="16" t="str">
        <f>HYPERLINK("https://www8.mpce.mp.br/Empenhos/150001/Objeto/44-2024.pdf","EMPENHO DOS ALUGUÉIS DOS MESES DE JULHO A SETEMBRO DE 2025, REF. AO IMÓVEL ONDE FUNCIONAM AS PROMOTORIAS DE JUSTIÇA DA COMARCA DE ACARAÚ, CONF. CONTRATO Nº 044/2024.")</f>
        <v>EMPENHO DOS ALUGUÉIS DOS MESES DE JULHO A SETEMBRO DE 2025, REF. AO IMÓVEL ONDE FUNCIONAM AS PROMOTORIAS DE JUSTIÇA DA COMARCA DE ACARAÚ, CONF. CONTRATO Nº 044/2024.</v>
      </c>
      <c r="F320" s="2" t="s">
        <v>130</v>
      </c>
      <c r="G320" s="5" t="str">
        <f>HYPERLINK("https://siafe.sefaz.ce.gov.br/Siafe/downloadSignature?token=97909959ab49403a8e034dad073a1bdf","2025NE001091")</f>
        <v>2025NE001091</v>
      </c>
      <c r="H320" s="6">
        <v>10211.64</v>
      </c>
      <c r="I320" s="7" t="s">
        <v>48</v>
      </c>
      <c r="J320" s="10" t="s">
        <v>196</v>
      </c>
      <c r="L320" s="13"/>
    </row>
    <row r="321" spans="1:12" x14ac:dyDescent="0.25">
      <c r="A321" s="12" t="s">
        <v>19</v>
      </c>
      <c r="B321" s="2" t="s">
        <v>403</v>
      </c>
      <c r="C321" s="3" t="str">
        <f>HYPERLINK("https://transparencia-area-fim.mpce.mp.br/#/consulta/processo/pastadigital/092022000110511","09.2022.00011051-1")</f>
        <v>09.2022.00011051-1</v>
      </c>
      <c r="D321" s="4">
        <v>45832</v>
      </c>
      <c r="E321" s="16" t="str">
        <f>HYPERLINK("https://www8.mpce.mp.br/Empenhos/150001/Objeto/38-2022.pdf","EMPENHO DOS ALUGUÉIS DOS MESES DE JULHO A SETEMBRO DE 2025, REF. AO IMÓVEL ONDE FUNCIONAM AS PROMOTORIAS DE JUSTIÇA DA COMARCA DE NOVA OLINDA, CONF. CONTRATO Nº 038/2022.")</f>
        <v>EMPENHO DOS ALUGUÉIS DOS MESES DE JULHO A SETEMBRO DE 2025, REF. AO IMÓVEL ONDE FUNCIONAM AS PROMOTORIAS DE JUSTIÇA DA COMARCA DE NOVA OLINDA, CONF. CONTRATO Nº 038/2022.</v>
      </c>
      <c r="F321" s="2" t="s">
        <v>31</v>
      </c>
      <c r="G321" s="5" t="str">
        <f>HYPERLINK("https://siafe.sefaz.ce.gov.br/Siafe/downloadSignature?token=3b1ffcaa0c5447ebae9d03a07eefdd25","2025NE001092")</f>
        <v>2025NE001092</v>
      </c>
      <c r="H321" s="6">
        <v>6000</v>
      </c>
      <c r="I321" s="7" t="s">
        <v>47</v>
      </c>
      <c r="J321" s="10" t="s">
        <v>195</v>
      </c>
      <c r="L321" s="13"/>
    </row>
    <row r="322" spans="1:12" x14ac:dyDescent="0.25">
      <c r="A322" s="12" t="s">
        <v>159</v>
      </c>
      <c r="B322" s="2" t="s">
        <v>507</v>
      </c>
      <c r="C322" s="3" t="str">
        <f>HYPERLINK("https://transparencia-area-fim.mpce.mp.br/#/consulta/processo/pastadigital/092022000083885","09.2022.00008388-5")</f>
        <v>09.2022.00008388-5</v>
      </c>
      <c r="D322" s="4">
        <v>45832</v>
      </c>
      <c r="E322" s="16" t="str">
        <f>HYPERLINK("https://www8.mpce.mp.br/Empenhos/150001/Objeto/36-2023.pdf","EMPENHO DOS ALUGUÉIS DOS MESES DE JULHO A SETEMBRO DE 2025, REF. AO IMÓVEL ONDE FUNCIONAM AS PROMOTORIAS DE JUSTIÇA DA COMARCA DE SOLONÓPOLE, CONF. CONTRATO Nº 036/2023.")</f>
        <v>EMPENHO DOS ALUGUÉIS DOS MESES DE JULHO A SETEMBRO DE 2025, REF. AO IMÓVEL ONDE FUNCIONAM AS PROMOTORIAS DE JUSTIÇA DA COMARCA DE SOLONÓPOLE, CONF. CONTRATO Nº 036/2023.</v>
      </c>
      <c r="F322" s="2" t="s">
        <v>31</v>
      </c>
      <c r="G322" s="5" t="str">
        <f>HYPERLINK("https://siafe.sefaz.ce.gov.br/Siafe/downloadSignature?token=68d78d02d5054f0ea19f62bcb947274f","2025NE001093")</f>
        <v>2025NE001093</v>
      </c>
      <c r="H322" s="6">
        <v>11691.72</v>
      </c>
      <c r="I322" s="7" t="s">
        <v>49</v>
      </c>
      <c r="J322" s="10" t="s">
        <v>197</v>
      </c>
      <c r="L322" s="13"/>
    </row>
    <row r="323" spans="1:12" x14ac:dyDescent="0.25">
      <c r="A323" s="12" t="s">
        <v>19</v>
      </c>
      <c r="B323" s="2" t="s">
        <v>508</v>
      </c>
      <c r="C323" s="3" t="str">
        <f>HYPERLINK("https://transparencia-area-fim.mpce.mp.br/#/consulta/processo/pastadigital/092022000276145","09.2022.00027614-5")</f>
        <v>09.2022.00027614-5</v>
      </c>
      <c r="D323" s="4">
        <v>45832</v>
      </c>
      <c r="E323" s="17" t="str">
        <f>HYPERLINK("https://www8.mpce.mp.br/Empenhos/150001/Objeto/36-2022.pdf","EMPENHO DOS ALUGUÉIS DOS MESES DE JULHO A SETEMBRO DE 2025, REF. AO IMÓVEL ONDE FUNCIONAM AS PROMOTORIAS DE JUSTIÇA DA COMARCA DE ARARIPE, CONF. CONTRATO Nº 036/2022.")</f>
        <v>EMPENHO DOS ALUGUÉIS DOS MESES DE JULHO A SETEMBRO DE 2025, REF. AO IMÓVEL ONDE FUNCIONAM AS PROMOTORIAS DE JUSTIÇA DA COMARCA DE ARARIPE, CONF. CONTRATO Nº 036/2022.</v>
      </c>
      <c r="F323" s="2" t="s">
        <v>31</v>
      </c>
      <c r="G323" s="5" t="str">
        <f>HYPERLINK("https://siafe.sefaz.ce.gov.br/Siafe/downloadSignature?token=8c17409b36674c7dbb900401470fbaaa","2025NE001094")</f>
        <v>2025NE001094</v>
      </c>
      <c r="H323" s="6">
        <v>4500</v>
      </c>
      <c r="I323" s="7" t="s">
        <v>32</v>
      </c>
      <c r="J323" s="10" t="s">
        <v>163</v>
      </c>
      <c r="L323" s="13"/>
    </row>
    <row r="324" spans="1:12" x14ac:dyDescent="0.25">
      <c r="A324" s="12" t="s">
        <v>19</v>
      </c>
      <c r="B324" s="2" t="s">
        <v>509</v>
      </c>
      <c r="C324" s="3" t="str">
        <f>HYPERLINK("http://www8.mpce.mp.br/Dispensa/6795020160.pdf","6795020160")</f>
        <v>6795020160</v>
      </c>
      <c r="D324" s="4">
        <v>45832</v>
      </c>
      <c r="E324" s="16" t="str">
        <f>HYPERLINK("https://www8.mpce.mp.br/Empenhos/150001/Objeto/08-2017.pdf","EMPENHO DOS ALUGUÉIS DOS MESES DE JULHO A SETEMBRO DE 2025, REF. AO IMÓVEL ONDE FUNCIONAM AS PROMOTORIAS DE JUSTIÇA DA COMARCA DE JARDIM, CONF. CONTRATO Nº 008/2017.")</f>
        <v>EMPENHO DOS ALUGUÉIS DOS MESES DE JULHO A SETEMBRO DE 2025, REF. AO IMÓVEL ONDE FUNCIONAM AS PROMOTORIAS DE JUSTIÇA DA COMARCA DE JARDIM, CONF. CONTRATO Nº 008/2017.</v>
      </c>
      <c r="F324" s="2" t="s">
        <v>31</v>
      </c>
      <c r="G324" s="5" t="str">
        <f>HYPERLINK("https://siafe.sefaz.ce.gov.br/Siafe/downloadSignature?token=aaf5f4d0426741c9986691e3afcca897","2025NE001096")</f>
        <v>2025NE001096</v>
      </c>
      <c r="H324" s="6">
        <v>2212.29</v>
      </c>
      <c r="I324" s="7" t="s">
        <v>99</v>
      </c>
      <c r="J324" s="10" t="s">
        <v>128</v>
      </c>
      <c r="L324" s="13"/>
    </row>
    <row r="325" spans="1:12" x14ac:dyDescent="0.25">
      <c r="A325" s="12" t="s">
        <v>19</v>
      </c>
      <c r="B325" s="2" t="s">
        <v>510</v>
      </c>
      <c r="C325" s="3" t="str">
        <f>HYPERLINK("http://www8.mpce.mp.br/Dispensa/575920103.pdf","5759/2010-3")</f>
        <v>5759/2010-3</v>
      </c>
      <c r="D325" s="4">
        <v>45832</v>
      </c>
      <c r="E325" s="17" t="str">
        <f>HYPERLINK("https://www8.mpce.mp.br/Empenhos/150001/Objeto/22-2010.pdf","EMPENHO DOS ALUGUÉIS DOS MESES DE JULHO A SETEMBRO DE 2025, REF. AO IMÓVEL ONDE FUNCIONAM AS PROMOTORIAS DE JUSTIÇA DA COMARCA DE GUAIÚBA, CONF. CONTRATO Nº 022/2010.")</f>
        <v>EMPENHO DOS ALUGUÉIS DOS MESES DE JULHO A SETEMBRO DE 2025, REF. AO IMÓVEL ONDE FUNCIONAM AS PROMOTORIAS DE JUSTIÇA DA COMARCA DE GUAIÚBA, CONF. CONTRATO Nº 022/2010.</v>
      </c>
      <c r="F325" s="2" t="s">
        <v>31</v>
      </c>
      <c r="G325" s="5" t="str">
        <f>HYPERLINK("https://siafe.sefaz.ce.gov.br/Siafe/downloadSignature?token=84b1da2835cd425a8623cfe7ed99f96e","2025NE001097")</f>
        <v>2025NE001097</v>
      </c>
      <c r="H325" s="6">
        <v>7367.82</v>
      </c>
      <c r="I325" s="7" t="s">
        <v>86</v>
      </c>
      <c r="J325" s="10" t="s">
        <v>87</v>
      </c>
      <c r="L325" s="13"/>
    </row>
    <row r="326" spans="1:12" x14ac:dyDescent="0.25">
      <c r="A326" s="12" t="s">
        <v>159</v>
      </c>
      <c r="B326" s="2" t="s">
        <v>258</v>
      </c>
      <c r="C326" s="3" t="str">
        <f>HYPERLINK("https://transparencia-area-fim.mpce.mp.br/#/consulta/processo/pastadigital/092025000085851","09.2025.00008585-1")</f>
        <v>09.2025.00008585-1</v>
      </c>
      <c r="D326" s="4">
        <v>45770</v>
      </c>
      <c r="E326" s="16" t="s">
        <v>449</v>
      </c>
      <c r="F326" s="2" t="s">
        <v>255</v>
      </c>
      <c r="G326" s="5" t="str">
        <f>HYPERLINK("https://siafe.sefaz.ce.gov.br/Siafe/downloadSignature?token=0a67a169f28449b39ee30ac2ce4e9ac6","2025NE001109")</f>
        <v>2025NE001109</v>
      </c>
      <c r="H326" s="6">
        <v>278.85000000000002</v>
      </c>
      <c r="I326" s="7" t="s">
        <v>61</v>
      </c>
      <c r="J326" s="10" t="s">
        <v>256</v>
      </c>
    </row>
    <row r="327" spans="1:12" x14ac:dyDescent="0.25">
      <c r="A327" s="12" t="s">
        <v>19</v>
      </c>
      <c r="B327" s="2" t="s">
        <v>511</v>
      </c>
      <c r="C327" s="3" t="str">
        <f>HYPERLINK("https://transparencia-area-fim.mpce.mp.br/#/consulta/processo/pastadigital/092021000121226","09.2021.00012122-6")</f>
        <v>09.2021.00012122-6</v>
      </c>
      <c r="D327" s="4">
        <v>45833</v>
      </c>
      <c r="E327" s="16" t="str">
        <f>HYPERLINK("https://www8.mpce.mp.br/Empenhos/150001/Objeto/34-2021.pdf","EMPENHO DOS ALUGUÉIS DOS MESES DE JULHO A SETEMBRO DE 2025, REF. AO IMÓVEL ONDE FUNCIONAM AS PROMOTORIAS DE JUSTIÇA DA COMARCA DE SÃO BENEDITO, CONF. CONTRATO Nº 034/2021.")</f>
        <v>EMPENHO DOS ALUGUÉIS DOS MESES DE JULHO A SETEMBRO DE 2025, REF. AO IMÓVEL ONDE FUNCIONAM AS PROMOTORIAS DE JUSTIÇA DA COMARCA DE SÃO BENEDITO, CONF. CONTRATO Nº 034/2021.</v>
      </c>
      <c r="F327" s="2" t="s">
        <v>31</v>
      </c>
      <c r="G327" s="5" t="str">
        <f>HYPERLINK("https://siafe.sefaz.ce.gov.br/Siafe/downloadSignature?token=a9122803ffb547b99044a412398a7845","2025NE001112")</f>
        <v>2025NE001112</v>
      </c>
      <c r="H327" s="6">
        <v>8469.81</v>
      </c>
      <c r="I327" s="7" t="s">
        <v>38</v>
      </c>
      <c r="J327" s="10" t="s">
        <v>176</v>
      </c>
      <c r="L327" s="13"/>
    </row>
    <row r="328" spans="1:12" x14ac:dyDescent="0.25">
      <c r="A328" s="12" t="s">
        <v>159</v>
      </c>
      <c r="B328" s="2" t="s">
        <v>402</v>
      </c>
      <c r="C328" s="3" t="str">
        <f>HYPERLINK("https://transparencia-area-fim.mpce.mp.br/#/consulta/processo/pastadigital/092022000426227","09.2022.00042622-7")</f>
        <v>09.2022.00042622-7</v>
      </c>
      <c r="D328" s="4">
        <v>45833</v>
      </c>
      <c r="E328" s="16" t="str">
        <f>HYPERLINK("https://www8.mpce.mp.br/Empenhos/150001/Objeto/33-2023.pdf","EMPENHO DOS ALUGUÉIS DOS MESES DE JULHO A SETEMBRO DE 2025, REF. AO IMÓVEL ONDE FUNCIONAM AS PROMOTORIAS DE JUSTIÇA DA COMARCA DE JUCÁS, CONF. CONTRATO Nº 033/2023.")</f>
        <v>EMPENHO DOS ALUGUÉIS DOS MESES DE JULHO A SETEMBRO DE 2025, REF. AO IMÓVEL ONDE FUNCIONAM AS PROMOTORIAS DE JUSTIÇA DA COMARCA DE JUCÁS, CONF. CONTRATO Nº 033/2023.</v>
      </c>
      <c r="F328" s="2" t="s">
        <v>31</v>
      </c>
      <c r="G328" s="5" t="str">
        <f>HYPERLINK("https://siafe.sefaz.ce.gov.br/Siafe/downloadSignature?token=4200146821904868809ca426114d4d48","2025NE001113")</f>
        <v>2025NE001113</v>
      </c>
      <c r="H328" s="6">
        <v>7500</v>
      </c>
      <c r="I328" s="7" t="s">
        <v>46</v>
      </c>
      <c r="J328" s="10" t="s">
        <v>194</v>
      </c>
      <c r="L328" s="13"/>
    </row>
    <row r="329" spans="1:12" x14ac:dyDescent="0.25">
      <c r="A329" s="12" t="s">
        <v>19</v>
      </c>
      <c r="B329" s="2" t="s">
        <v>512</v>
      </c>
      <c r="C329" s="3" t="str">
        <f>HYPERLINK("https://transparencia-area-fim.mpce.mp.br/#/consulta/processo/pastadigital/092022000091296","09.2022.00009129-6")</f>
        <v>09.2022.00009129-6</v>
      </c>
      <c r="D329" s="4">
        <v>45833</v>
      </c>
      <c r="E329" s="16" t="str">
        <f>HYPERLINK("https://www8.mpce.mp.br/Empenhos/150001/Objeto/33-2022.pdf","EMPENHO DOS ALUGUÉIS DOS MESES DE JULHO A SETEMBRO DE 2025, REF. AO IMÓVEL ONDE FUNCIONAM AS PROMOTORIAS DE JUSTIÇA DA COMARCA DE VÁRZEA ALEGRE, CONF. CONTRATO Nº 033/2022.")</f>
        <v>EMPENHO DOS ALUGUÉIS DOS MESES DE JULHO A SETEMBRO DE 2025, REF. AO IMÓVEL ONDE FUNCIONAM AS PROMOTORIAS DE JUSTIÇA DA COMARCA DE VÁRZEA ALEGRE, CONF. CONTRATO Nº 033/2022.</v>
      </c>
      <c r="F329" s="2" t="s">
        <v>31</v>
      </c>
      <c r="G329" s="5" t="str">
        <f>HYPERLINK("https://siafe.sefaz.ce.gov.br/Siafe/downloadSignature?token=3d5f85807e0d406e9ad2e553c7b55494","2025NE001114")</f>
        <v>2025NE001114</v>
      </c>
      <c r="H329" s="6">
        <v>2506.1999999999998</v>
      </c>
      <c r="I329" s="7" t="s">
        <v>33</v>
      </c>
      <c r="J329" s="10" t="s">
        <v>165</v>
      </c>
      <c r="L329" s="13"/>
    </row>
    <row r="330" spans="1:12" x14ac:dyDescent="0.25">
      <c r="A330" s="12" t="s">
        <v>159</v>
      </c>
      <c r="B330" s="2" t="s">
        <v>513</v>
      </c>
      <c r="C330" s="3" t="str">
        <f>HYPERLINK("https://transparencia-area-fim.mpce.mp.br/#/consulta/processo/pastadigital/092024000115580","09.2024.00011558-0")</f>
        <v>09.2024.00011558-0</v>
      </c>
      <c r="D330" s="4">
        <v>45833</v>
      </c>
      <c r="E330" s="16" t="str">
        <f>HYPERLINK("https://www8.mpce.mp.br/Empenhos/150001/Objeto/16-2025.pdf","EMPENHO DOS ALUGUÉIS DOS MESES DE JULHO A SETEMBRO DE 2025, REF. AO IMÓVEL ONDE FUNCIONAM AS PROMOTORIAS DE JUSTIÇA DA COMARCA DE NOVA RUSSAS, CONF. CONTRATO Nº 016/2025.")</f>
        <v>EMPENHO DOS ALUGUÉIS DOS MESES DE JULHO A SETEMBRO DE 2025, REF. AO IMÓVEL ONDE FUNCIONAM AS PROMOTORIAS DE JUSTIÇA DA COMARCA DE NOVA RUSSAS, CONF. CONTRATO Nº 016/2025.</v>
      </c>
      <c r="F330" s="2" t="s">
        <v>31</v>
      </c>
      <c r="G330" s="5" t="str">
        <f>HYPERLINK("https://siafe.sefaz.ce.gov.br/Siafe/downloadSignature?token=6ba620e9efce43e881a5a72a9bf549f0","2025NE001115")</f>
        <v>2025NE001115</v>
      </c>
      <c r="H330" s="6">
        <v>9830.94</v>
      </c>
      <c r="I330" s="7" t="s">
        <v>487</v>
      </c>
      <c r="J330" s="10" t="s">
        <v>488</v>
      </c>
      <c r="L330" s="13"/>
    </row>
    <row r="331" spans="1:12" x14ac:dyDescent="0.25">
      <c r="A331" s="12" t="s">
        <v>19</v>
      </c>
      <c r="B331" s="2" t="s">
        <v>514</v>
      </c>
      <c r="C331" s="3" t="str">
        <f>HYPERLINK("https://transparencia-area-fim.mpce.mp.br/#/consulta/processo/pastadigital/092021000155016","09.2021.00015501-6")</f>
        <v>09.2021.00015501-6</v>
      </c>
      <c r="D331" s="4">
        <v>45833</v>
      </c>
      <c r="E331" s="16" t="str">
        <f>HYPERLINK("https://www8.mpce.mp.br/Empenhos/150001/Objeto/26-2021.pdf","EMPENHO DOS ALUGUÉIS DOS MESES DE JULHO A SETEMBRO DE 2025, REF. AO IMÓVEL ONDE FUNCIONAM AS PROMOTORIAS DE JUSTIÇA DA COMARCA DE BREJO SANTO, CONF. CONTRATO Nº 026/2021.")</f>
        <v>EMPENHO DOS ALUGUÉIS DOS MESES DE JULHO A SETEMBRO DE 2025, REF. AO IMÓVEL ONDE FUNCIONAM AS PROMOTORIAS DE JUSTIÇA DA COMARCA DE BREJO SANTO, CONF. CONTRATO Nº 026/2021.</v>
      </c>
      <c r="F331" s="2" t="s">
        <v>31</v>
      </c>
      <c r="G331" s="5" t="str">
        <f>HYPERLINK("https://siafe.sefaz.ce.gov.br/Siafe/downloadSignature?token=6726be65733f467fbb6159485c858ad4","2025NE001116")</f>
        <v>2025NE001116</v>
      </c>
      <c r="H331" s="6">
        <v>7804.65</v>
      </c>
      <c r="I331" s="7" t="s">
        <v>39</v>
      </c>
      <c r="J331" s="10" t="s">
        <v>178</v>
      </c>
      <c r="L331" s="13"/>
    </row>
    <row r="332" spans="1:12" x14ac:dyDescent="0.25">
      <c r="A332" s="12" t="s">
        <v>19</v>
      </c>
      <c r="B332" s="2" t="s">
        <v>515</v>
      </c>
      <c r="C332" s="3" t="str">
        <f>HYPERLINK("https://transparencia-area-fim.mpce.mp.br/#/consulta/processo/pastadigital/092021000047808","09.2021.00004780-8")</f>
        <v>09.2021.00004780-8</v>
      </c>
      <c r="D332" s="4">
        <v>45833</v>
      </c>
      <c r="E332" s="16" t="str">
        <f>HYPERLINK("https://www8.mpce.mp.br/Empenhos/150001/Objeto/25-2021.pdf","EMPENHO DOS ALUGUÉIS DOS MESES DE JULHO A SETEMBRO DE 2025, REF. AO IMÓVEL ONDE FUNCIONAM AS PROMOTORIAS DE JUSTIÇA DA COMARCA DE ALTO SANTO, CONF. CONTRATO Nº 025/2021.")</f>
        <v>EMPENHO DOS ALUGUÉIS DOS MESES DE JULHO A SETEMBRO DE 2025, REF. AO IMÓVEL ONDE FUNCIONAM AS PROMOTORIAS DE JUSTIÇA DA COMARCA DE ALTO SANTO, CONF. CONTRATO Nº 025/2021.</v>
      </c>
      <c r="F332" s="2" t="s">
        <v>31</v>
      </c>
      <c r="G332" s="5" t="str">
        <f>HYPERLINK("https://siafe.sefaz.ce.gov.br/Siafe/downloadSignature?token=9849caaf73a34679a1e2d2d1fef4c84e","2025NE001118")</f>
        <v>2025NE001118</v>
      </c>
      <c r="H332" s="6">
        <v>4953.45</v>
      </c>
      <c r="I332" s="7" t="s">
        <v>40</v>
      </c>
      <c r="J332" s="10" t="s">
        <v>180</v>
      </c>
    </row>
    <row r="333" spans="1:12" x14ac:dyDescent="0.25">
      <c r="A333" s="12" t="s">
        <v>19</v>
      </c>
      <c r="B333" s="2" t="s">
        <v>407</v>
      </c>
      <c r="C333" s="3" t="str">
        <f>HYPERLINK("https://transparencia-area-fim.mpce.mp.br/#/consulta/processo/pastadigital/092021000166790","09.2021.00016679-0")</f>
        <v>09.2021.00016679-0</v>
      </c>
      <c r="D333" s="4">
        <v>45835</v>
      </c>
      <c r="E333" s="17" t="str">
        <f>HYPERLINK("https://www8.mpce.mp.br/Empenhos/150001/Objeto/24-2022.pdf","EMPENHO DOS ALUGUÉIS DOS MESES DE JULHO A SETEMBRO DE 2025, REF. AO IMÓVEL ONDE FUNCIONAM AS PROMOTORIAS DE JUSTIÇA DA COMARCA DE HORIZONTE, CONF. CONTRATO Nº 024/2022.")</f>
        <v>EMPENHO DOS ALUGUÉIS DOS MESES DE JULHO A SETEMBRO DE 2025, REF. AO IMÓVEL ONDE FUNCIONAM AS PROMOTORIAS DE JUSTIÇA DA COMARCA DE HORIZONTE, CONF. CONTRATO Nº 024/2022.</v>
      </c>
      <c r="F333" s="2" t="s">
        <v>31</v>
      </c>
      <c r="G333" s="5" t="str">
        <f>HYPERLINK("https://siafe.sefaz.ce.gov.br/Siafe/downloadSignature?token=9369e55f052843edab2e09cf39563957","2025NE001120")</f>
        <v>2025NE001120</v>
      </c>
      <c r="H333" s="6">
        <v>7505.1</v>
      </c>
      <c r="I333" s="7" t="s">
        <v>36</v>
      </c>
      <c r="J333" s="10" t="s">
        <v>172</v>
      </c>
      <c r="L333" s="13"/>
    </row>
    <row r="334" spans="1:12" x14ac:dyDescent="0.25">
      <c r="A334" s="12" t="s">
        <v>19</v>
      </c>
      <c r="B334" s="2" t="s">
        <v>200</v>
      </c>
      <c r="C334" s="3" t="str">
        <f>HYPERLINK("https://transparencia-area-fim.mpce.mp.br/#/consulta/processo/pastadigital/092025000042395","09.2025.00004239-5")</f>
        <v>09.2025.00004239-5</v>
      </c>
      <c r="D334" s="4">
        <v>45770</v>
      </c>
      <c r="E334" s="16" t="str">
        <f>HYPERLINK("https://www8.mpce.mp.br/Empenhos/150001/Objeto/10-2025.pdf","EMPENHO REF. SEGURO DRONE R.E.T.A. (RESPONSABILIDADE DO EXPLORADOR E TRANSPORTADOR AÉREO), COM COBERTURA DE 04/2025 A 04/2026, CONF. CONTRATO 010/2025, REF. 2025, POR ESTIMATIVA.")</f>
        <v>EMPENHO REF. SEGURO DRONE R.E.T.A. (RESPONSABILIDADE DO EXPLORADOR E TRANSPORTADOR AÉREO), COM COBERTURA DE 04/2025 A 04/2026, CONF. CONTRATO 010/2025, REF. 2025, POR ESTIMATIVA.</v>
      </c>
      <c r="F334" s="2" t="s">
        <v>245</v>
      </c>
      <c r="G334" s="5" t="str">
        <f>HYPERLINK("https://siafe.sefaz.ce.gov.br/Siafe/downloadSignature?token=d7340c2cb6d94956949d4ff330881475","2025NE001121")</f>
        <v>2025NE001121</v>
      </c>
      <c r="H334" s="6">
        <v>551.35</v>
      </c>
      <c r="I334" s="7" t="s">
        <v>450</v>
      </c>
      <c r="J334" s="10" t="s">
        <v>451</v>
      </c>
    </row>
    <row r="335" spans="1:12" x14ac:dyDescent="0.25">
      <c r="A335" s="12" t="s">
        <v>19</v>
      </c>
      <c r="B335" s="2" t="s">
        <v>188</v>
      </c>
      <c r="C335" s="3" t="str">
        <f>HYPERLINK("https://transparencia-area-fim.mpce.mp.br/#/consulta/processo/pastadigital/092021000219739","09.2021.00021973-9")</f>
        <v>09.2021.00021973-9</v>
      </c>
      <c r="D335" s="4">
        <v>45833</v>
      </c>
      <c r="E335" s="16" t="str">
        <f>HYPERLINK("https://www8.mpce.mp.br/Empenhos/150001/Objeto/45-2021.pdf","EMPENHO DOS ALUGUÉIS DOS MESES DE JULHO A SETEMBRO DE 2025, REF AO IMÓVEL ONDE FUNCIONAM AS PROMOTORIAS DE JUSTIÇA DA COMARCA DE EUSÉBIO, CONF. CONTRATO Nº 045/2021.")</f>
        <v>EMPENHO DOS ALUGUÉIS DOS MESES DE JULHO A SETEMBRO DE 2025, REF AO IMÓVEL ONDE FUNCIONAM AS PROMOTORIAS DE JUSTIÇA DA COMARCA DE EUSÉBIO, CONF. CONTRATO Nº 045/2021.</v>
      </c>
      <c r="F335" s="2" t="s">
        <v>130</v>
      </c>
      <c r="G335" s="5" t="str">
        <f>HYPERLINK("https://siafe.sefaz.ce.gov.br/Siafe/downloadSignature?token=561867ff5c424a4e83f218056674d01b","2025NE001123")</f>
        <v>2025NE001123</v>
      </c>
      <c r="H335" s="6">
        <v>4921.05</v>
      </c>
      <c r="I335" s="7" t="s">
        <v>43</v>
      </c>
      <c r="J335" s="10" t="s">
        <v>186</v>
      </c>
      <c r="L335" s="13"/>
    </row>
    <row r="336" spans="1:12" x14ac:dyDescent="0.25">
      <c r="A336" s="12" t="s">
        <v>19</v>
      </c>
      <c r="B336" s="2" t="s">
        <v>188</v>
      </c>
      <c r="C336" s="3" t="str">
        <f>HYPERLINK("https://transparencia-area-fim.mpce.mp.br/#/consulta/processo/pastadigital/092021000219739","09.2021.00021973-9")</f>
        <v>09.2021.00021973-9</v>
      </c>
      <c r="D336" s="4">
        <v>45834</v>
      </c>
      <c r="E336" s="16" t="str">
        <f>HYPERLINK("https://www8.mpce.mp.br/Empenhos/150001/Objeto/45-2021.pdf","EMPENHO DOS CONDOMÍNIOS DOS MESES DE JULHO A SETEMBRO DE 2025, RELATIVO AO IMÓVEL ONDE FUNCIONAM AS PROMOTORIAS DE JUSTIÇA DA COMARCA DE EUSÉBIO, CONF. CONTRATO Nº 045/2021.")</f>
        <v>EMPENHO DOS CONDOMÍNIOS DOS MESES DE JULHO A SETEMBRO DE 2025, RELATIVO AO IMÓVEL ONDE FUNCIONAM AS PROMOTORIAS DE JUSTIÇA DA COMARCA DE EUSÉBIO, CONF. CONTRATO Nº 045/2021.</v>
      </c>
      <c r="F336" s="2" t="s">
        <v>189</v>
      </c>
      <c r="G336" s="5" t="str">
        <f>HYPERLINK("https://siafe.sefaz.ce.gov.br/Siafe/downloadSignature?token=332dc071d4254de8ad76804fc4d29cac","2025NE001128")</f>
        <v>2025NE001128</v>
      </c>
      <c r="H336" s="6">
        <v>1574.64</v>
      </c>
      <c r="I336" s="7" t="s">
        <v>43</v>
      </c>
      <c r="J336" s="10" t="s">
        <v>186</v>
      </c>
      <c r="L336" s="13"/>
    </row>
    <row r="337" spans="1:12" x14ac:dyDescent="0.25">
      <c r="A337" s="12" t="s">
        <v>19</v>
      </c>
      <c r="B337" s="2" t="s">
        <v>452</v>
      </c>
      <c r="C337" s="3" t="str">
        <f>HYPERLINK("https://transparencia-area-fim.mpce.mp.br/#/consulta/processo/pastadigital/092024000350649","09.2024.00035064-9")</f>
        <v>09.2024.00035064-9</v>
      </c>
      <c r="D337" s="4">
        <v>45771</v>
      </c>
      <c r="E337" s="16" t="str">
        <f>HYPERLINK("https://www8.mpce.mp.br/Empenhos/150001/Objeto/09-2025.pdf","PRESTAÇÃO DE SERVIÇOS DE HOSPEDAGEM EM NUVEM PARA GUARDA DE VOLUMES DA REVISTA ACADÊMICA DA ESCOLA SUPERIOR DO MINISTÉRIO PÚBLICO DO ESTADO DO CEARÁ, INCLUINDO A MANUTENÇÃO DE O"&amp;"JS E EMISSÃO DE DOIS, CONF. CONTRATO Nº 009/2025, PARA O ANO DE 2025.")</f>
        <v>PRESTAÇÃO DE SERVIÇOS DE HOSPEDAGEM EM NUVEM PARA GUARDA DE VOLUMES DA REVISTA ACADÊMICA DA ESCOLA SUPERIOR DO MINISTÉRIO PÚBLICO DO ESTADO DO CEARÁ, INCLUINDO A MANUTENÇÃO DE OJS E EMISSÃO DE DOIS, CONF. CONTRATO Nº 009/2025, PARA O ANO DE 2025.</v>
      </c>
      <c r="F337" s="2" t="s">
        <v>332</v>
      </c>
      <c r="G337" s="5" t="str">
        <f>HYPERLINK("https://siafe.sefaz.ce.gov.br/Siafe/downloadSignature?token=649aa91a99d54ce08d66f494ea8635b2","2025NE001128")</f>
        <v>2025NE001128</v>
      </c>
      <c r="H337" s="6">
        <v>1980</v>
      </c>
      <c r="I337" s="7" t="s">
        <v>85</v>
      </c>
      <c r="J337" s="10" t="s">
        <v>333</v>
      </c>
      <c r="L337" s="13"/>
    </row>
    <row r="338" spans="1:12" x14ac:dyDescent="0.25">
      <c r="A338" s="12" t="s">
        <v>19</v>
      </c>
      <c r="B338" s="2" t="s">
        <v>190</v>
      </c>
      <c r="C338" s="3" t="str">
        <f>HYPERLINK("https://transparencia-area-fim.mpce.mp.br/#/consulta/processo/pastadigital/092021000079244","09.2021.00007924-4")</f>
        <v>09.2021.00007924-4</v>
      </c>
      <c r="D338" s="4">
        <v>45835</v>
      </c>
      <c r="E338" s="16" t="str">
        <f>HYPERLINK("https://www8.mpce.mp.br/Empenhos/150001/Objeto/27-2021.pdf","EMPENHO DOS CONDOMÍNIOS DOS MESES DE JULHO A SETEMBRO DE 2025, REF. AO IMÓVEL ONDE FUNCIONAM AS PROMOTORIAS DE JUSTIÇA DA COMARCA DE EUSÉBIO, CONF. CONTRATO Nº027/2021.")</f>
        <v>EMPENHO DOS CONDOMÍNIOS DOS MESES DE JULHO A SETEMBRO DE 2025, REF. AO IMÓVEL ONDE FUNCIONAM AS PROMOTORIAS DE JUSTIÇA DA COMARCA DE EUSÉBIO, CONF. CONTRATO Nº027/2021.</v>
      </c>
      <c r="F338" s="2" t="s">
        <v>189</v>
      </c>
      <c r="G338" s="5" t="str">
        <f>HYPERLINK("https://siafe.sefaz.ce.gov.br/Siafe/downloadSignature?token=192c2a80e2a04d40b9517aff7176486d","2025NE001129")</f>
        <v>2025NE001129</v>
      </c>
      <c r="H338" s="6">
        <v>5065.74</v>
      </c>
      <c r="I338" s="7" t="s">
        <v>43</v>
      </c>
      <c r="J338" s="10" t="s">
        <v>186</v>
      </c>
    </row>
    <row r="339" spans="1:12" x14ac:dyDescent="0.25">
      <c r="A339" s="12" t="s">
        <v>19</v>
      </c>
      <c r="B339" s="2" t="s">
        <v>190</v>
      </c>
      <c r="C339" s="3" t="str">
        <f>HYPERLINK("https://transparencia-area-fim.mpce.mp.br/#/consulta/processo/pastadigital/092021000079244","09.2021.00007924-4")</f>
        <v>09.2021.00007924-4</v>
      </c>
      <c r="D339" s="4">
        <v>45835</v>
      </c>
      <c r="E339" s="16" t="str">
        <f>HYPERLINK("https://www8.mpce.mp.br/Empenhos/150001/Objeto/27-2021.pdf","EMPENHO DOS ALUGUÉIS DOS MESES DE JULHO A SETEMBRO DE 2025, RELATIVO AO IMÓVEL ONDE FUNCIONAM AS PROMOTORIAS DE JUSTIÇA DA COMARCA DE EUSÉBIO, CONF. CONTRATO Nº 027/2021.")</f>
        <v>EMPENHO DOS ALUGUÉIS DOS MESES DE JULHO A SETEMBRO DE 2025, RELATIVO AO IMÓVEL ONDE FUNCIONAM AS PROMOTORIAS DE JUSTIÇA DA COMARCA DE EUSÉBIO, CONF. CONTRATO Nº 027/2021.</v>
      </c>
      <c r="F339" s="2" t="s">
        <v>130</v>
      </c>
      <c r="G339" s="5" t="str">
        <f>HYPERLINK("https://siafe.sefaz.ce.gov.br/Siafe/downloadSignature?token=ba22556ae24a48b4a779bc252ba36e96","2025NE001130")</f>
        <v>2025NE001130</v>
      </c>
      <c r="H339" s="6">
        <v>16638.3</v>
      </c>
      <c r="I339" s="7" t="s">
        <v>43</v>
      </c>
      <c r="J339" s="10" t="s">
        <v>186</v>
      </c>
      <c r="L339" s="13"/>
    </row>
    <row r="340" spans="1:12" x14ac:dyDescent="0.25">
      <c r="A340" s="12" t="s">
        <v>19</v>
      </c>
      <c r="B340" s="2" t="s">
        <v>516</v>
      </c>
      <c r="C340" s="3" t="str">
        <f>HYPERLINK("http://www8.mpce.mp.br/Dispensa/1984020196.pdf","19840/2019-6")</f>
        <v>19840/2019-6</v>
      </c>
      <c r="D340" s="4">
        <v>45835</v>
      </c>
      <c r="E340" s="16" t="str">
        <f>HYPERLINK("https://www8.mpce.mp.br/Empenhos/150001/Objeto/48-2019.pdf","EMPENHO DOS ALUGUÉIS DOS MESES DE JULHO A SETEMBRO DE 2025, REF. AO IMÓVEL ONDE FUNCIONAM AS PROMOTORIAS DE JUSTIÇA DA COMARCA DE CAUCAIA, CONF. CONTRATO Nº 048/2019.")</f>
        <v>EMPENHO DOS ALUGUÉIS DOS MESES DE JULHO A SETEMBRO DE 2025, REF. AO IMÓVEL ONDE FUNCIONAM AS PROMOTORIAS DE JUSTIÇA DA COMARCA DE CAUCAIA, CONF. CONTRATO Nº 048/2019.</v>
      </c>
      <c r="F340" s="2" t="s">
        <v>130</v>
      </c>
      <c r="G340" s="5" t="str">
        <f>HYPERLINK("https://siafe.sefaz.ce.gov.br/Siafe/downloadSignature?token=df75358ab3ce47b9984ce5edba8b6305","2025NE001131")</f>
        <v>2025NE001131</v>
      </c>
      <c r="H340" s="6">
        <v>141759.39000000001</v>
      </c>
      <c r="I340" s="7" t="s">
        <v>27</v>
      </c>
      <c r="J340" s="10" t="s">
        <v>154</v>
      </c>
      <c r="L340" s="13"/>
    </row>
    <row r="341" spans="1:12" x14ac:dyDescent="0.25">
      <c r="A341" s="12" t="s">
        <v>19</v>
      </c>
      <c r="B341" s="2" t="s">
        <v>517</v>
      </c>
      <c r="C341" s="3" t="str">
        <f>HYPERLINK("https://transparencia-area-fim.mpce.mp.br/#/consulta/processo/pastadigital/092021000244449","09.2021.00024444-9")</f>
        <v>09.2021.00024444-9</v>
      </c>
      <c r="D341" s="4">
        <v>45835</v>
      </c>
      <c r="E341" s="16" t="str">
        <f>HYPERLINK("https://www8.mpce.mp.br/Empenhos/150001/Objeto/12-2022.pdf","EMPENHO DOS ALUGUÉIS DOS MESES DE JULHO A SETEMBRO DE 2025, REF. AO IMÓVEL ONDE FUNCIONAM AS PROMOTORIAS DE JUSTIÇA DA COMARCA DE QUIXADÁ, CONF. CONTRATO Nº 041/2021.")</f>
        <v>EMPENHO DOS ALUGUÉIS DOS MESES DE JULHO A SETEMBRO DE 2025, REF. AO IMÓVEL ONDE FUNCIONAM AS PROMOTORIAS DE JUSTIÇA DA COMARCA DE QUIXADÁ, CONF. CONTRATO Nº 041/2021.</v>
      </c>
      <c r="F341" s="2" t="s">
        <v>130</v>
      </c>
      <c r="G341" s="5" t="str">
        <f>HYPERLINK("https://siafe.sefaz.ce.gov.br/Siafe/downloadSignature?token=2724ee536031444b8eec357e164e2a09","2025NE001132")</f>
        <v>2025NE001132</v>
      </c>
      <c r="H341" s="6">
        <v>56700</v>
      </c>
      <c r="I341" s="7" t="s">
        <v>23</v>
      </c>
      <c r="J341" s="10" t="s">
        <v>135</v>
      </c>
      <c r="L341" s="13"/>
    </row>
    <row r="342" spans="1:12" x14ac:dyDescent="0.25">
      <c r="A342" s="12" t="s">
        <v>19</v>
      </c>
      <c r="B342" s="2" t="s">
        <v>518</v>
      </c>
      <c r="C342" s="3" t="str">
        <f>HYPERLINK("https://transparencia-area-fim.mpce.mp.br/#/consulta/processo/pastadigital/092021000244449","09.2021.00024444-9")</f>
        <v>09.2021.00024444-9</v>
      </c>
      <c r="D342" s="4">
        <v>45835</v>
      </c>
      <c r="E342" s="16" t="str">
        <f>HYPERLINK("https://www8.mpce.mp.br/Empenhos/150001/Objeto/12-2022.pdf","RETROATIVO DO ALUGUEL REFERENTE A 16 (DEZESSEIS) DIAS PROPORCIONAIS DO MÊS DE DEZEMBRO DE 2024 (DEA), REF. AO IMÓVEL ONDE FUNCIONAM AS PROMOTORIAS DE JUSTIÇA DA COMARCA DE RUSSA"&amp;"S, CONF. CONTRATO Nº 012/2022, TERMO DE RECONHECIMENTO DE DÍVIDA Nº 0025/2025/SEFIN, NP 2025NP000175 E CÓDIGO Nº 25003645.")</f>
        <v>RETROATIVO DO ALUGUEL REFERENTE A 16 (DEZESSEIS) DIAS PROPORCIONAIS DO MÊS DE DEZEMBRO DE 2024 (DEA), REF. AO IMÓVEL ONDE FUNCIONAM AS PROMOTORIAS DE JUSTIÇA DA COMARCA DE RUSSAS, CONF. CONTRATO Nº 012/2022, TERMO DE RECONHECIMENTO DE DÍVIDA Nº 0025/2025/SEFIN, NP 2025NP000175 E CÓDIGO Nº 25003645.</v>
      </c>
      <c r="F342" s="2" t="s">
        <v>519</v>
      </c>
      <c r="G342" s="5" t="str">
        <f>HYPERLINK("https://siafe.sefaz.ce.gov.br/Siafe/downloadSignature?token=aa5e14916c9c4c5a9aa789f8a5cbd28b","2025NE001138")</f>
        <v>2025NE001138</v>
      </c>
      <c r="H342" s="6">
        <v>543.16</v>
      </c>
      <c r="I342" s="7" t="s">
        <v>23</v>
      </c>
      <c r="J342" s="10" t="s">
        <v>135</v>
      </c>
      <c r="L342" s="13"/>
    </row>
    <row r="343" spans="1:12" x14ac:dyDescent="0.25">
      <c r="A343" s="12" t="s">
        <v>159</v>
      </c>
      <c r="B343" s="2" t="s">
        <v>258</v>
      </c>
      <c r="C343" s="3" t="str">
        <f>HYPERLINK("https://transparencia-area-fim.mpce.mp.br/#/consulta/processo/pastadigital/092025000085807","09.2025.00008580-7")</f>
        <v>09.2025.00008580-7</v>
      </c>
      <c r="D343" s="4">
        <v>45772</v>
      </c>
      <c r="E343" s="16" t="s">
        <v>453</v>
      </c>
      <c r="F343" s="2" t="s">
        <v>255</v>
      </c>
      <c r="G343" s="5" t="str">
        <f>HYPERLINK("https://siafe.sefaz.ce.gov.br/Siafe/downloadSignature?token=077a85dd746d4344967cf9fb6e1abeb8","2025NE001143")</f>
        <v>2025NE001143</v>
      </c>
      <c r="H343" s="6">
        <v>373.86</v>
      </c>
      <c r="I343" s="7" t="s">
        <v>82</v>
      </c>
      <c r="J343" s="10" t="s">
        <v>299</v>
      </c>
      <c r="L343" s="13"/>
    </row>
    <row r="344" spans="1:12" x14ac:dyDescent="0.25">
      <c r="A344" s="12" t="s">
        <v>19</v>
      </c>
      <c r="B344" s="2" t="s">
        <v>502</v>
      </c>
      <c r="C344" s="3" t="str">
        <f>HYPERLINK("http://www8.mpce.mp.br/Dispensa/2150720189.pdf","21507/2018-9")</f>
        <v>21507/2018-9</v>
      </c>
      <c r="D344" s="4">
        <v>45838</v>
      </c>
      <c r="E344" s="16" t="str">
        <f>HYPERLINK("https://www8.mpce.mp.br/Empenhos/150001/Objeto/51-2019.pdf","IPTU/2025, PARCELA ÚNICA, REF. AO IMÓVEL ONDE FUNCIONAM AS PROMOTORIAS DE JUSTIÇA DE VIÇOSA-CE, CONF. CONTRATO Nº 051/2019.")</f>
        <v>IPTU/2025, PARCELA ÚNICA, REF. AO IMÓVEL ONDE FUNCIONAM AS PROMOTORIAS DE JUSTIÇA DE VIÇOSA-CE, CONF. CONTRATO Nº 051/2019.</v>
      </c>
      <c r="F344" s="2" t="s">
        <v>361</v>
      </c>
      <c r="G344" s="5" t="str">
        <f>HYPERLINK("https://siafe.sefaz.ce.gov.br/Siafe/downloadSignature?token=c7031a01a8d44dffa5c8ff98f69551e0","2025NE001144")</f>
        <v>2025NE001144</v>
      </c>
      <c r="H344" s="6">
        <v>178.41</v>
      </c>
      <c r="I344" s="7" t="s">
        <v>98</v>
      </c>
      <c r="J344" s="10" t="s">
        <v>102</v>
      </c>
      <c r="L344" s="13"/>
    </row>
    <row r="345" spans="1:12" x14ac:dyDescent="0.25">
      <c r="A345" s="12" t="s">
        <v>159</v>
      </c>
      <c r="B345" s="2" t="s">
        <v>258</v>
      </c>
      <c r="C345" s="3" t="str">
        <f>HYPERLINK("https://transparencia-area-fim.mpce.mp.br/#/consulta/processo/pastadigital/092025000086528","09.2025.00008652-8")</f>
        <v>09.2025.00008652-8</v>
      </c>
      <c r="D345" s="4">
        <v>45772</v>
      </c>
      <c r="E345" s="16" t="s">
        <v>454</v>
      </c>
      <c r="F345" s="2" t="s">
        <v>255</v>
      </c>
      <c r="G345" s="5" t="str">
        <f>HYPERLINK("https://siafe.sefaz.ce.gov.br/Siafe/downloadSignature?token=fcaec846617144ceb5fd4bd202f1d0a9","2025NE001145")</f>
        <v>2025NE001145</v>
      </c>
      <c r="H345" s="6">
        <v>300</v>
      </c>
      <c r="I345" s="7" t="s">
        <v>68</v>
      </c>
      <c r="J345" s="10" t="s">
        <v>269</v>
      </c>
      <c r="L345" s="13"/>
    </row>
    <row r="346" spans="1:12" x14ac:dyDescent="0.25">
      <c r="A346" s="12" t="s">
        <v>159</v>
      </c>
      <c r="B346" s="2" t="s">
        <v>258</v>
      </c>
      <c r="C346" s="3" t="str">
        <f>HYPERLINK("https://transparencia-area-fim.mpce.mp.br/#/consulta/processo/pastadigital/092025000086261","09.2025.00008626-1")</f>
        <v>09.2025.00008626-1</v>
      </c>
      <c r="D346" s="4">
        <v>45772</v>
      </c>
      <c r="E346" s="16" t="s">
        <v>455</v>
      </c>
      <c r="F346" s="2" t="s">
        <v>255</v>
      </c>
      <c r="G346" s="5" t="str">
        <f>HYPERLINK("https://siafe.sefaz.ce.gov.br/Siafe/downloadSignature?token=bac71da53ef247a2a7b76ecb82f43607","2025NE001147")</f>
        <v>2025NE001147</v>
      </c>
      <c r="H346" s="6">
        <v>188.73</v>
      </c>
      <c r="I346" s="7" t="s">
        <v>65</v>
      </c>
      <c r="J346" s="10" t="s">
        <v>262</v>
      </c>
      <c r="L346" s="13"/>
    </row>
    <row r="347" spans="1:12" x14ac:dyDescent="0.25">
      <c r="A347" s="12" t="s">
        <v>159</v>
      </c>
      <c r="B347" s="2" t="s">
        <v>456</v>
      </c>
      <c r="C347" s="3" t="str">
        <f>HYPERLINK("https://transparencia-area-fim.mpce.mp.br/#/consulta/processo/pastadigital/092025000043617","09.2025.00004361-7")</f>
        <v>09.2025.00004361-7</v>
      </c>
      <c r="D347" s="4">
        <v>45772</v>
      </c>
      <c r="E347" s="16" t="str">
        <f>HYPERLINK("https://www8.mpce.mp.br/Empenhos/150001/Objeto/11-2025.pdf","CONTRATAÇÃO DA PRESTAÇÃO DE SERVIÇOS EDUCACIONAIS REFERENTE A AQUISIÇÃO DE 25 (VINTE E CINCO VAGAS) VAGAS DESTINADAS AOS MEMBROS E SERVIDORES DO MINISTÉRIO PÚBLICO DO ESTADO DO "&amp;"CEARÁ, VALOR CORRESPONDENTE A ½ BOLSA, NO CURSO DE PÓS-GRADUAÇÃO STRICTO SENSU, 1ª (PRIMEIRA) TURMA DO MESTRADO PROFISSIONAL EM AVALIAÇÃO DE POLÍTICAS PÚBLICAS DA UNIVERSIDADE FEDERAL DO CEARÁ E DO MINISTÉRIO PÚBLICO DO ESTADO DO CEARÁ, INICIANDO EM "&amp;"MAIO DE 2025, COM CARGA HORÁRIA DE 480H/A, CONF. CONTRATO Nº 011/2025.")</f>
        <v>CONTRATAÇÃO DA PRESTAÇÃO DE SERVIÇOS EDUCACIONAIS REFERENTE A AQUISIÇÃO DE 25 (VINTE E CINCO VAGAS) VAGAS DESTINADAS AOS MEMBROS E SERVIDORES DO MINISTÉRIO PÚBLICO DO ESTADO DO CEARÁ, VALOR CORRESPONDENTE A ½ BOLSA, NO CURSO DE PÓS-GRADUAÇÃO STRICTO SENSU, 1ª (PRIMEIRA) TURMA DO MESTRADO PROFISSIONAL EM AVALIAÇÃO DE POLÍTICAS PÚBLICAS DA UNIVERSIDADE FEDERAL DO CEARÁ E DO MINISTÉRIO PÚBLICO DO ESTADO DO CEARÁ, INICIANDO EM MAIO DE 2025, COM CARGA HORÁRIA DE 480H/A, CONF. CONTRATO Nº 011/2025.</v>
      </c>
      <c r="F347" s="2" t="s">
        <v>221</v>
      </c>
      <c r="G347" s="5" t="str">
        <f>HYPERLINK("https://siafe.sefaz.ce.gov.br/Siafe/downloadSignature?token=c63f18f6e30f4631adca5c4d75b4c3f3","2025NE001149")</f>
        <v>2025NE001149</v>
      </c>
      <c r="H347" s="6">
        <v>170000</v>
      </c>
      <c r="I347" s="7" t="s">
        <v>35</v>
      </c>
      <c r="J347" s="10" t="s">
        <v>170</v>
      </c>
      <c r="L347" s="13"/>
    </row>
    <row r="348" spans="1:12" x14ac:dyDescent="0.25">
      <c r="A348" s="12" t="s">
        <v>19</v>
      </c>
      <c r="B348" s="2" t="s">
        <v>520</v>
      </c>
      <c r="C348" s="3" t="str">
        <f>HYPERLINK("https://transparencia-area-fim.mpce.mp.br/#/consulta/processo/pastadigital/092022000197876","09.2022.00019787-6")</f>
        <v>09.2022.00019787-6</v>
      </c>
      <c r="D348" s="4">
        <v>45840</v>
      </c>
      <c r="E348" s="16" t="str">
        <f>HYPERLINK("https://www8.mpce.mp.br/Empenhos/150001/Objeto/02-2023.pdf","ALUGUÉIS DO NÚCLEO DE MEDIAÇÃO COMUNITÁRIA DO BOM JARDIM, CONF. CONTRATO Nº 002/2023, REF. AOS MESES DE JULHO A SETEMBRO DE 2025.")</f>
        <v>ALUGUÉIS DO NÚCLEO DE MEDIAÇÃO COMUNITÁRIA DO BOM JARDIM, CONF. CONTRATO Nº 002/2023, REF. AOS MESES DE JULHO A SETEMBRO DE 2025.</v>
      </c>
      <c r="F348" s="2" t="s">
        <v>130</v>
      </c>
      <c r="G348" s="5" t="str">
        <f>HYPERLINK("https://siafe.sefaz.ce.gov.br/Siafe/downloadSignature?token=6ab3d970a2db4faa8a2144cf7990a940","2025NE001163")</f>
        <v>2025NE001163</v>
      </c>
      <c r="H348" s="6">
        <v>16800</v>
      </c>
      <c r="I348" s="7" t="s">
        <v>28</v>
      </c>
      <c r="J348" s="10" t="s">
        <v>156</v>
      </c>
      <c r="L348" s="13"/>
    </row>
    <row r="349" spans="1:12" x14ac:dyDescent="0.25">
      <c r="A349" s="12" t="s">
        <v>19</v>
      </c>
      <c r="B349" s="2" t="s">
        <v>521</v>
      </c>
      <c r="C349" s="3" t="str">
        <f>HYPERLINK("http://www8.mpce.mp.br/Dispensa/4793720162.pdf","4793720162")</f>
        <v>4793720162</v>
      </c>
      <c r="D349" s="4">
        <v>45840</v>
      </c>
      <c r="E349" s="16" t="str">
        <f>HYPERLINK("https://www8.mpce.mp.br/Empenhos/150001/Objeto/14-2017.pdf","EMPENHO DOS ALUGUÉIS DO IMÓVEL ONDE FUNCIONA O ALMOXARIFADO E PATRIMÔNIO DA PGJ, CONF. CONTRATO Nº 014/2017, REF. AOS MESES DE JULHO A SETEMBRO DE 2025.")</f>
        <v>EMPENHO DOS ALUGUÉIS DO IMÓVEL ONDE FUNCIONA O ALMOXARIFADO E PATRIMÔNIO DA PGJ, CONF. CONTRATO Nº 014/2017, REF. AOS MESES DE JULHO A SETEMBRO DE 2025.</v>
      </c>
      <c r="F349" s="2" t="s">
        <v>130</v>
      </c>
      <c r="G349" s="5" t="str">
        <f>HYPERLINK("https://siafe.sefaz.ce.gov.br/Siafe/downloadSignature?token=b5ecd2bb2f62444c85ed2dbdfa332ada","2025NE001164")</f>
        <v>2025NE001164</v>
      </c>
      <c r="H349" s="6">
        <v>66430.44</v>
      </c>
      <c r="I349" s="7" t="s">
        <v>30</v>
      </c>
      <c r="J349" s="10" t="s">
        <v>161</v>
      </c>
      <c r="L349" s="13"/>
    </row>
    <row r="350" spans="1:12" x14ac:dyDescent="0.25">
      <c r="A350" s="12" t="s">
        <v>159</v>
      </c>
      <c r="B350" s="2" t="s">
        <v>522</v>
      </c>
      <c r="C350" s="3" t="str">
        <f>HYPERLINK("https://transparencia-area-fim.mpce.mp.br/#/consulta/processo/pastadigital/092023000293915","09.2023.00029391-5")</f>
        <v>09.2023.00029391-5</v>
      </c>
      <c r="D350" s="4">
        <v>45840</v>
      </c>
      <c r="E350" s="16" t="str">
        <f>HYPERLINK("https://www8.mpce.mp.br/Empenhos/150001/Objeto/54-2023.pdf","EMPENHO DOS ALUGUÉIS DO IMÓVEL ONDE FUNCIONA O ALMOXARIFADO E PATRIMÔNIO, CONF. CONTRATO Nº 054/2023, REF. AOS MESES DE JULHO A SETEMBRO DE 2025.")</f>
        <v>EMPENHO DOS ALUGUÉIS DO IMÓVEL ONDE FUNCIONA O ALMOXARIFADO E PATRIMÔNIO, CONF. CONTRATO Nº 054/2023, REF. AOS MESES DE JULHO A SETEMBRO DE 2025.</v>
      </c>
      <c r="F350" s="2" t="s">
        <v>130</v>
      </c>
      <c r="G350" s="5" t="str">
        <f>HYPERLINK("https://siafe.sefaz.ce.gov.br/Siafe/downloadSignature?token=a2565a0084da47e99bf34077f0e49875","2025NE001165")</f>
        <v>2025NE001165</v>
      </c>
      <c r="H350" s="6">
        <v>68920.320000000007</v>
      </c>
      <c r="I350" s="7" t="s">
        <v>30</v>
      </c>
      <c r="J350" s="10" t="s">
        <v>161</v>
      </c>
      <c r="L350" s="13"/>
    </row>
    <row r="351" spans="1:12" x14ac:dyDescent="0.25">
      <c r="A351" s="12" t="s">
        <v>19</v>
      </c>
      <c r="B351" s="2" t="s">
        <v>374</v>
      </c>
      <c r="C351" s="3" t="str">
        <f>HYPERLINK("https://transparencia-area-fim.mpce.mp.br/#/consulta/processo/pastadigital/092023000338563","09.2023.00033856-3")</f>
        <v>09.2023.00033856-3</v>
      </c>
      <c r="D351" s="4">
        <v>45840</v>
      </c>
      <c r="E351" s="16" t="str">
        <f>HYPERLINK("https://www8.mpce.mp.br/Empenhos/150001/Objeto/01-2024.pdf","EMPENHO DOS ALUGUÉIS DO IMÓVEL ONDE FUNCIONAM AS PROMOTORIAS DE JUSTIÇA DA COMARCA DE AQUIRAZ, CONF. CONTRATO Nº 001/2024, REF. AOS MESES DE JULHO A SETEMBRO DE 2025")</f>
        <v>EMPENHO DOS ALUGUÉIS DO IMÓVEL ONDE FUNCIONAM AS PROMOTORIAS DE JUSTIÇA DA COMARCA DE AQUIRAZ, CONF. CONTRATO Nº 001/2024, REF. AOS MESES DE JULHO A SETEMBRO DE 2025</v>
      </c>
      <c r="F351" s="2" t="s">
        <v>130</v>
      </c>
      <c r="G351" s="5" t="str">
        <f>HYPERLINK("https://siafe.sefaz.ce.gov.br/Siafe/downloadSignature?token=4a3a79954dfd4559afe03883834ce57c","2025NE001166")</f>
        <v>2025NE001166</v>
      </c>
      <c r="H351" s="6">
        <v>49320</v>
      </c>
      <c r="I351" s="7" t="s">
        <v>27</v>
      </c>
      <c r="J351" s="10" t="s">
        <v>154</v>
      </c>
      <c r="L351" s="13"/>
    </row>
    <row r="352" spans="1:12" x14ac:dyDescent="0.25">
      <c r="A352" s="12" t="s">
        <v>19</v>
      </c>
      <c r="B352" s="2" t="s">
        <v>523</v>
      </c>
      <c r="C352" s="3" t="str">
        <f>HYPERLINK("https://transparencia-area-fim.mpce.mp.br/#/consulta/processo/pastadigital/092023000338530","09.2023.00033853-0")</f>
        <v>09.2023.00033853-0</v>
      </c>
      <c r="D352" s="4">
        <v>45840</v>
      </c>
      <c r="E352" s="16" t="str">
        <f>HYPERLINK("https://www8.mpce.mp.br/Empenhos/150001/Objeto/05-2024.pdf","EMPENHO DOS ALUGUÉIS DO IMÓVEL ONDE FUNCIONAM AS PROMOTORIAS DE JUSTIÇA DA COMARCA DE BATURITÉ, CONF. CONTRATO Nº 005/2024, REF AOS MESES DE JULHO A SETEMBRO DE 2025.")</f>
        <v>EMPENHO DOS ALUGUÉIS DO IMÓVEL ONDE FUNCIONAM AS PROMOTORIAS DE JUSTIÇA DA COMARCA DE BATURITÉ, CONF. CONTRATO Nº 005/2024, REF AOS MESES DE JULHO A SETEMBRO DE 2025.</v>
      </c>
      <c r="F352" s="2" t="s">
        <v>130</v>
      </c>
      <c r="G352" s="5" t="str">
        <f>HYPERLINK("https://siafe.sefaz.ce.gov.br/Siafe/downloadSignature?token=944513bf83704bdfa0c759408f0b7a7d","2025NE001167")</f>
        <v>2025NE001167</v>
      </c>
      <c r="H352" s="6">
        <v>45816</v>
      </c>
      <c r="I352" s="7" t="s">
        <v>21</v>
      </c>
      <c r="J352" s="10" t="s">
        <v>140</v>
      </c>
      <c r="L352" s="13"/>
    </row>
    <row r="353" spans="1:12" x14ac:dyDescent="0.25">
      <c r="A353" s="12" t="s">
        <v>19</v>
      </c>
      <c r="B353" s="2" t="s">
        <v>388</v>
      </c>
      <c r="C353" s="3" t="str">
        <f>HYPERLINK("https://transparencia-area-fim.mpce.mp.br/#/consulta/processo/pastadigital/092022000343751","09.2022.00034375-1")</f>
        <v>09.2022.00034375-1</v>
      </c>
      <c r="D353" s="4">
        <v>45840</v>
      </c>
      <c r="E353" s="16" t="str">
        <f>HYPERLINK("https://www8.mpce.mp.br/Empenhos/150001/Objeto/08-2023.pdf","EMPENHO DOS ALUGUÉIS DO IMÓVEL ONDE FUNCIONAM AS PROMOTORIAS DE JUSTIÇA DA COMARCA DE QUIXERAMOBIM, CONF. CONTRATO Nº 008/2023, REF. AOS MESES DE JULHO A SETEMBRO DE 2025.")</f>
        <v>EMPENHO DOS ALUGUÉIS DO IMÓVEL ONDE FUNCIONAM AS PROMOTORIAS DE JUSTIÇA DA COMARCA DE QUIXERAMOBIM, CONF. CONTRATO Nº 008/2023, REF. AOS MESES DE JULHO A SETEMBRO DE 2025.</v>
      </c>
      <c r="F353" s="2" t="s">
        <v>130</v>
      </c>
      <c r="G353" s="5" t="str">
        <f>HYPERLINK("https://siafe.sefaz.ce.gov.br/Siafe/downloadSignature?token=b8cf1878433744e6a1a5592847ab4bc3","2025NE001168")</f>
        <v>2025NE001168</v>
      </c>
      <c r="H353" s="6">
        <v>42540</v>
      </c>
      <c r="I353" s="7" t="s">
        <v>23</v>
      </c>
      <c r="J353" s="10" t="s">
        <v>135</v>
      </c>
      <c r="L353" s="13"/>
    </row>
    <row r="354" spans="1:12" x14ac:dyDescent="0.25">
      <c r="A354" s="12" t="s">
        <v>19</v>
      </c>
      <c r="B354" s="2" t="s">
        <v>524</v>
      </c>
      <c r="C354" s="3" t="str">
        <f>HYPERLINK("http://www8.mpce.mp.br/Dispensa/2004820193.pdf","20048/2019-3")</f>
        <v>20048/2019-3</v>
      </c>
      <c r="D354" s="4">
        <v>45840</v>
      </c>
      <c r="E354" s="16" t="str">
        <f>HYPERLINK("https://www8.mpce.mp.br/Empenhos/150001/Objeto/84-2019.pdf","EMPENHO DE IPTU/2025, PARCELA ÚNICA, CONF. CONTRATO Nº 084/2019.")</f>
        <v>EMPENHO DE IPTU/2025, PARCELA ÚNICA, CONF. CONTRATO Nº 084/2019.</v>
      </c>
      <c r="F354" s="2" t="s">
        <v>31</v>
      </c>
      <c r="G354" s="5" t="str">
        <f>HYPERLINK("https://siafe.sefaz.ce.gov.br/Siafe/downloadSignature?token=89914e0199804a11ab4562e94e915dee","2025NE001169")</f>
        <v>2025NE001169</v>
      </c>
      <c r="H354" s="6">
        <v>784.97</v>
      </c>
      <c r="I354" s="7" t="s">
        <v>42</v>
      </c>
      <c r="J354" s="10" t="s">
        <v>184</v>
      </c>
      <c r="L354" s="13"/>
    </row>
    <row r="355" spans="1:12" x14ac:dyDescent="0.25">
      <c r="A355" s="12" t="s">
        <v>19</v>
      </c>
      <c r="B355" s="2" t="s">
        <v>387</v>
      </c>
      <c r="C355" s="3" t="str">
        <f>HYPERLINK("https://transparencia-area-fim.mpce.mp.br/#/consulta/processo/pastadigital/092022000343829","09.2022.00034382-9")</f>
        <v>09.2022.00034382-9</v>
      </c>
      <c r="D355" s="4">
        <v>45840</v>
      </c>
      <c r="E355" s="16" t="str">
        <f>HYPERLINK("https://www8.mpce.mp.br/Empenhos/150001/Objeto/10-2023.pdf","EMPENHO DOS ALUGUÉIS, CONF. 010/2023, REF. AOS MESES DE JULHO A SETEMBRO DE 2025.")</f>
        <v>EMPENHO DOS ALUGUÉIS, CONF. 010/2023, REF. AOS MESES DE JULHO A SETEMBRO DE 2025.</v>
      </c>
      <c r="F355" s="2" t="s">
        <v>130</v>
      </c>
      <c r="G355" s="5" t="str">
        <f>HYPERLINK("https://siafe.sefaz.ce.gov.br/Siafe/downloadSignature?token=cf8167cb1545460a943a5c8204bb82a1","2025NE001176")</f>
        <v>2025NE001176</v>
      </c>
      <c r="H355" s="6">
        <v>40836</v>
      </c>
      <c r="I355" s="7" t="s">
        <v>23</v>
      </c>
      <c r="J355" s="10" t="s">
        <v>135</v>
      </c>
      <c r="L355" s="13"/>
    </row>
    <row r="356" spans="1:12" x14ac:dyDescent="0.25">
      <c r="A356" s="12" t="s">
        <v>19</v>
      </c>
      <c r="B356" s="2" t="s">
        <v>370</v>
      </c>
      <c r="C356" s="3" t="str">
        <f>HYPERLINK("https://transparencia-area-fim.mpce.mp.br/#/consulta/processo/pastadigital/092021000244582","09.2021.00024458-2")</f>
        <v>09.2021.00024458-2</v>
      </c>
      <c r="D356" s="4">
        <v>45840</v>
      </c>
      <c r="E356" s="16" t="str">
        <f>HYPERLINK("https://www8.mpce.mp.br/Empenhos/150001/Objeto/11-2022.pdf","EMPENHO DOS ALUGUÉIS, CONF. CONTRATO Nº 011/2022, REF. AOS MESES DE JULHO A SETEMBRO DE 2025.")</f>
        <v>EMPENHO DOS ALUGUÉIS, CONF. CONTRATO Nº 011/2022, REF. AOS MESES DE JULHO A SETEMBRO DE 2025.</v>
      </c>
      <c r="F356" s="2" t="s">
        <v>130</v>
      </c>
      <c r="G356" s="5" t="str">
        <f>HYPERLINK("https://siafe.sefaz.ce.gov.br/Siafe/downloadSignature?token=f05cfe37174240d894c8a24681430747","2025NE001177")</f>
        <v>2025NE001177</v>
      </c>
      <c r="H356" s="6">
        <v>58196.67</v>
      </c>
      <c r="I356" s="7" t="s">
        <v>24</v>
      </c>
      <c r="J356" s="10" t="s">
        <v>146</v>
      </c>
      <c r="L356" s="13"/>
    </row>
    <row r="357" spans="1:12" x14ac:dyDescent="0.25">
      <c r="A357" s="12" t="s">
        <v>19</v>
      </c>
      <c r="B357" s="2" t="s">
        <v>525</v>
      </c>
      <c r="C357" s="3" t="str">
        <f>HYPERLINK("https://transparencia-area-fim.mpce.mp.br/#/consulta/processo/pastadigital/092021000244449","09.2021.00024444-9")</f>
        <v>09.2021.00024444-9</v>
      </c>
      <c r="D357" s="4">
        <v>45840</v>
      </c>
      <c r="E357" s="16" t="str">
        <f>HYPERLINK("https://www8.mpce.mp.br/Empenhos/150001/Objeto/12-2022.pdf","EMPENHO DOS ALUGUÉIS, CONF. CONTRATO Nº 012/2022 REF. AOS MESES DE JULHO A SETEMBRO DE 2025")</f>
        <v>EMPENHO DOS ALUGUÉIS, CONF. CONTRATO Nº 012/2022 REF. AOS MESES DE JULHO A SETEMBRO DE 2025</v>
      </c>
      <c r="F357" s="2" t="s">
        <v>130</v>
      </c>
      <c r="G357" s="5" t="str">
        <f>HYPERLINK("https://siafe.sefaz.ce.gov.br/Siafe/downloadSignature?token=bf73e27d576d4b03bf4499d97daea064","2025NE001179")</f>
        <v>2025NE001179</v>
      </c>
      <c r="H357" s="6">
        <v>65755.289999999994</v>
      </c>
      <c r="I357" s="7" t="s">
        <v>23</v>
      </c>
      <c r="J357" s="10" t="s">
        <v>135</v>
      </c>
      <c r="L357" s="13"/>
    </row>
    <row r="358" spans="1:12" x14ac:dyDescent="0.25">
      <c r="A358" s="12" t="s">
        <v>19</v>
      </c>
      <c r="B358" s="2" t="s">
        <v>380</v>
      </c>
      <c r="C358" s="3" t="str">
        <f>HYPERLINK("https://transparencia-area-fim.mpce.mp.br/#/consulta/processo/pastadigital/092022000081432","09.2022.00008143-2")</f>
        <v>09.2022.00008143-2</v>
      </c>
      <c r="D358" s="4">
        <v>45855</v>
      </c>
      <c r="E358" s="16" t="str">
        <f>HYPERLINK("https://www8.mpce.mp.br/Empenhos/150001/Objeto/16-2022.pdf","EMPENHO REF. ALUGUEL DE IMÓVEL ONDE FUNCIONAM AS PROMOTORIAS DE JUSTIÇA DA COMARCA DE BARBALHA, CONF. CONTRATO 016/2022, REF. JUL, AGO E SET/2025, POR ESTIMATIVA.")</f>
        <v>EMPENHO REF. ALUGUEL DE IMÓVEL ONDE FUNCIONAM AS PROMOTORIAS DE JUSTIÇA DA COMARCA DE BARBALHA, CONF. CONTRATO 016/2022, REF. JUL, AGO E SET/2025, POR ESTIMATIVA.</v>
      </c>
      <c r="F358" s="2" t="s">
        <v>130</v>
      </c>
      <c r="G358" s="5" t="str">
        <f>HYPERLINK("https://siafe.sefaz.ce.gov.br/Siafe/downloadSignature?token=2fe963734ca641be857ce572a9dc6137","2025NE001197")</f>
        <v>2025NE001197</v>
      </c>
      <c r="H358" s="6">
        <v>52029.21</v>
      </c>
      <c r="I358" s="7" t="s">
        <v>20</v>
      </c>
      <c r="J358" s="10" t="s">
        <v>138</v>
      </c>
      <c r="L358" s="13"/>
    </row>
    <row r="359" spans="1:12" x14ac:dyDescent="0.25">
      <c r="A359" s="12" t="s">
        <v>19</v>
      </c>
      <c r="B359" s="2" t="s">
        <v>578</v>
      </c>
      <c r="C359" s="3" t="str">
        <f>HYPERLINK("https://transparencia-area-fim.mpce.mp.br/#/consulta/processo/pastadigital/092021000244271","09.2021.00024427-1")</f>
        <v>09.2021.00024427-1</v>
      </c>
      <c r="D359" s="4">
        <v>45855</v>
      </c>
      <c r="E359" s="16" t="str">
        <f>HYPERLINK("https://www8.mpce.mp.br/Empenhos/150001/Objeto/17-2022.pdf","EMPENHO REF. ALUGUEL DE IMÓVEL ONDE FUNCIONAM PROMOTORIAS DE JUSTIÇA DA COMARCA DE TIANGUÁ, CONF. CONTRATO 017/2022, REF. JUL, AGO E SET/2025, POR ESTIMATIVA.")</f>
        <v>EMPENHO REF. ALUGUEL DE IMÓVEL ONDE FUNCIONAM PROMOTORIAS DE JUSTIÇA DA COMARCA DE TIANGUÁ, CONF. CONTRATO 017/2022, REF. JUL, AGO E SET/2025, POR ESTIMATIVA.</v>
      </c>
      <c r="F359" s="2" t="s">
        <v>130</v>
      </c>
      <c r="G359" s="5" t="str">
        <f>HYPERLINK("https://siafe.sefaz.ce.gov.br/Siafe/downloadSignature?token=34cf63683a30418099827ce60f55f410","2025NE001199")</f>
        <v>2025NE001199</v>
      </c>
      <c r="H359" s="6">
        <v>78000</v>
      </c>
      <c r="I359" s="7" t="s">
        <v>22</v>
      </c>
      <c r="J359" s="10" t="s">
        <v>142</v>
      </c>
      <c r="L359" s="13"/>
    </row>
    <row r="360" spans="1:12" x14ac:dyDescent="0.25">
      <c r="A360" s="12" t="s">
        <v>19</v>
      </c>
      <c r="B360" s="2" t="s">
        <v>187</v>
      </c>
      <c r="C360" s="3" t="str">
        <f>HYPERLINK("https://transparencia-area-fim.mpce.mp.br/#/consulta/processo/pastadigital/092023000338552","09.2023.00033855-2")</f>
        <v>09.2023.00033855-2</v>
      </c>
      <c r="D360" s="4">
        <v>45855</v>
      </c>
      <c r="E360" s="16" t="str">
        <f>HYPERLINK("https://www8.mpce.mp.br/Empenhos/150001/Objeto/17-2024.pdf","EMPENHO REF. ALUGUEL DE IMÓVEL ONDE FUNCIONAM PROMOTORIAS DE JUSTIÇA DA COMARCA DE MARANGUAPE, CONF. CONTRATO 017/2024, REF. JUL, AGO E SET/2025, POR ESTIMATIVA.")</f>
        <v>EMPENHO REF. ALUGUEL DE IMÓVEL ONDE FUNCIONAM PROMOTORIAS DE JUSTIÇA DA COMARCA DE MARANGUAPE, CONF. CONTRATO 017/2024, REF. JUL, AGO E SET/2025, POR ESTIMATIVA.</v>
      </c>
      <c r="F360" s="2" t="s">
        <v>130</v>
      </c>
      <c r="G360" s="5" t="str">
        <f>HYPERLINK("https://siafe.sefaz.ce.gov.br/Siafe/downloadSignature?token=22d79549159d405f926d3070f1fa01a0","2025NE001202")</f>
        <v>2025NE001202</v>
      </c>
      <c r="H360" s="6">
        <v>54000</v>
      </c>
      <c r="I360" s="7" t="s">
        <v>218</v>
      </c>
      <c r="J360" s="10" t="s">
        <v>219</v>
      </c>
      <c r="L360" s="13"/>
    </row>
    <row r="361" spans="1:12" x14ac:dyDescent="0.25">
      <c r="A361" s="12" t="s">
        <v>19</v>
      </c>
      <c r="B361" s="2" t="s">
        <v>187</v>
      </c>
      <c r="C361" s="3" t="str">
        <f>HYPERLINK("https://transparencia-area-fim.mpce.mp.br/#/consulta/processo/pastadigital/092021000244282","09.2021.00024428-2")</f>
        <v>09.2021.00024428-2</v>
      </c>
      <c r="D361" s="4">
        <v>45855</v>
      </c>
      <c r="E361" s="16" t="str">
        <f>HYPERLINK("https://www8.mpce.mp.br/Empenhos/150001/Objeto/18-2022.pdf","EMPENHO REF. ALUGUEL DE IMÓVEL ONDE FUNCIONAM PROMOTORIAS DE JUSTIÇA DA COMARCA DE CRATEÚS, CONF. CONTRATO 018/2022, REF. JUL, AGO E SET/2025, POR ESTIMATIVA.")</f>
        <v>EMPENHO REF. ALUGUEL DE IMÓVEL ONDE FUNCIONAM PROMOTORIAS DE JUSTIÇA DA COMARCA DE CRATEÚS, CONF. CONTRATO 018/2022, REF. JUL, AGO E SET/2025, POR ESTIMATIVA.</v>
      </c>
      <c r="F361" s="2" t="s">
        <v>130</v>
      </c>
      <c r="G361" s="5" t="str">
        <f>HYPERLINK("https://siafe.sefaz.ce.gov.br/Siafe/downloadSignature?token=36af47e1c4584f61984499fa6cd89d40","2025NE001203")</f>
        <v>2025NE001203</v>
      </c>
      <c r="H361" s="6">
        <v>78000.3</v>
      </c>
      <c r="I361" s="7" t="s">
        <v>21</v>
      </c>
      <c r="J361" s="10" t="s">
        <v>140</v>
      </c>
    </row>
    <row r="362" spans="1:12" x14ac:dyDescent="0.25">
      <c r="A362" s="12" t="s">
        <v>19</v>
      </c>
      <c r="B362" s="2" t="s">
        <v>187</v>
      </c>
      <c r="C362" s="3" t="str">
        <f>HYPERLINK("https://transparencia-area-fim.mpce.mp.br/#/consulta/processo/pastadigital/092022000343818","09.2022.00034381-8")</f>
        <v>09.2022.00034381-8</v>
      </c>
      <c r="D362" s="4">
        <v>45855</v>
      </c>
      <c r="E362" s="16" t="str">
        <f>HYPERLINK("https://www8.mpce.mp.br/Empenhos/150001/Objeto/24-2023.pdf","EMPENHO REF. ALUGUEL DE IMÓVEL ONDE FUNCIONAM PROMOTORIAS DE JUSTIÇA DA COMARCA DE ITAPIPOCA, CONF. CONTRATO 024/2023, REF. JUL, AGO E SET/2025, POR ESTIMATIVA.")</f>
        <v>EMPENHO REF. ALUGUEL DE IMÓVEL ONDE FUNCIONAM PROMOTORIAS DE JUSTIÇA DA COMARCA DE ITAPIPOCA, CONF. CONTRATO 024/2023, REF. JUL, AGO E SET/2025, POR ESTIMATIVA.</v>
      </c>
      <c r="F362" s="2" t="s">
        <v>130</v>
      </c>
      <c r="G362" s="5" t="str">
        <f>HYPERLINK("https://siafe.sefaz.ce.gov.br/Siafe/downloadSignature?token=46c8178c099744e6ac9dc6799cfb70a8","2025NE001204")</f>
        <v>2025NE001204</v>
      </c>
      <c r="H362" s="6">
        <v>56631.42</v>
      </c>
      <c r="I362" s="7" t="s">
        <v>79</v>
      </c>
      <c r="J362" s="10" t="s">
        <v>133</v>
      </c>
    </row>
    <row r="363" spans="1:12" x14ac:dyDescent="0.25">
      <c r="A363" s="12" t="s">
        <v>19</v>
      </c>
      <c r="B363" s="2" t="s">
        <v>187</v>
      </c>
      <c r="C363" s="3" t="str">
        <f>HYPERLINK("https://transparencia-area-fim.mpce.mp.br/#/consulta/processo/pastadigital/092022000343795","09.2022.00034379-5")</f>
        <v>09.2022.00034379-5</v>
      </c>
      <c r="D363" s="4">
        <v>45855</v>
      </c>
      <c r="E363" s="16" t="str">
        <f>HYPERLINK("https://www8.mpce.mp.br/Empenhos/150001/Objeto/25-2023.pdf","EMPENHO REF. ALUGUEL DE IMÓVEL ONDE FUNCIONAM PROMOTORIAS DE JUSTIÇA DA COMARCA DE CANINDÉ, CONF. CONTRATO 025/2023, REF. JUL-SET/2025, POR ESTIMATIVA.")</f>
        <v>EMPENHO REF. ALUGUEL DE IMÓVEL ONDE FUNCIONAM PROMOTORIAS DE JUSTIÇA DA COMARCA DE CANINDÉ, CONF. CONTRATO 025/2023, REF. JUL-SET/2025, POR ESTIMATIVA.</v>
      </c>
      <c r="F363" s="2" t="s">
        <v>130</v>
      </c>
      <c r="G363" s="5" t="str">
        <f>HYPERLINK("https://siafe.sefaz.ce.gov.br/Siafe/downloadSignature?token=b40a6e8035714cc080b7be35c752de6a","2025NE001205")</f>
        <v>2025NE001205</v>
      </c>
      <c r="H363" s="6">
        <v>44004</v>
      </c>
      <c r="I363" s="7" t="s">
        <v>101</v>
      </c>
      <c r="J363" s="10" t="s">
        <v>131</v>
      </c>
      <c r="L363" s="13"/>
    </row>
    <row r="364" spans="1:12" x14ac:dyDescent="0.25">
      <c r="A364" s="12" t="s">
        <v>19</v>
      </c>
      <c r="B364" s="2" t="s">
        <v>187</v>
      </c>
      <c r="C364" s="3" t="str">
        <f>HYPERLINK("https://transparencia-area-fim.mpce.mp.br/#/consulta/processo/pastadigital/092021000065217","09.2021.00006521-7")</f>
        <v>09.2021.00006521-7</v>
      </c>
      <c r="D364" s="4">
        <v>45855</v>
      </c>
      <c r="E364" s="16" t="str">
        <f>HYPERLINK("https://www8.mpce.mp.br/Empenhos/150001/Objeto/38-2021.pdf","EMPENHO REF. ALUGUEL DE IMÓVEL ONDE FUNCIONAM PROMOTORIAS DE JUSTIÇA DA COMARCA DE TAUÁ, CONF. CONTRATO 038/2021, REF. JUL, AGO E SET/2025, POR ESTIMATIVA.")</f>
        <v>EMPENHO REF. ALUGUEL DE IMÓVEL ONDE FUNCIONAM PROMOTORIAS DE JUSTIÇA DA COMARCA DE TAUÁ, CONF. CONTRATO 038/2021, REF. JUL, AGO E SET/2025, POR ESTIMATIVA.</v>
      </c>
      <c r="F364" s="2" t="s">
        <v>130</v>
      </c>
      <c r="G364" s="5" t="str">
        <f>HYPERLINK("https://siafe.sefaz.ce.gov.br/Siafe/downloadSignature?token=b086eb0dcf5f431db908eada6f1a278d","2025NE001206")</f>
        <v>2025NE001206</v>
      </c>
      <c r="H364" s="6">
        <v>54000</v>
      </c>
      <c r="I364" s="7" t="s">
        <v>26</v>
      </c>
      <c r="J364" s="10" t="s">
        <v>151</v>
      </c>
      <c r="L364" s="13"/>
    </row>
    <row r="365" spans="1:12" x14ac:dyDescent="0.25">
      <c r="A365" s="12" t="s">
        <v>19</v>
      </c>
      <c r="B365" s="2" t="s">
        <v>187</v>
      </c>
      <c r="C365" s="3" t="str">
        <f>HYPERLINK("https://transparencia-area-fim.mpce.mp.br/#/consulta/processo/pastadigital/092023000338541","09.2023.00033854-1")</f>
        <v>09.2023.00033854-1</v>
      </c>
      <c r="D365" s="4">
        <v>45855</v>
      </c>
      <c r="E365" s="16" t="str">
        <f>HYPERLINK("https://www8.mpce.mp.br/Empenhos/150001/Objeto/36-2024.pdf","EMPENHO REF. ALUGUEL DE IMÓVEL ONDE FUNCIONAM PROMOTORIAS DE JUSTIÇA DA COMARCA DE MORADA NOVA, CONF. CONTRATO 036/2024, REF. JUL, AGO E SET/2025,  POR ESTIMATIVA.")</f>
        <v>EMPENHO REF. ALUGUEL DE IMÓVEL ONDE FUNCIONAM PROMOTORIAS DE JUSTIÇA DA COMARCA DE MORADA NOVA, CONF. CONTRATO 036/2024, REF. JUL, AGO E SET/2025,  POR ESTIMATIVA.</v>
      </c>
      <c r="F365" s="2" t="s">
        <v>130</v>
      </c>
      <c r="G365" s="5" t="str">
        <f>HYPERLINK("https://siafe.sefaz.ce.gov.br/Siafe/downloadSignature?token=d7df7f5cf3bf43cbbf61b0d7a14f928e","2025NE001207")</f>
        <v>2025NE001207</v>
      </c>
      <c r="H365" s="6">
        <v>52272</v>
      </c>
      <c r="I365" s="7" t="s">
        <v>27</v>
      </c>
      <c r="J365" s="10" t="s">
        <v>154</v>
      </c>
      <c r="L365" s="13"/>
    </row>
    <row r="366" spans="1:12" x14ac:dyDescent="0.25">
      <c r="A366" s="12" t="s">
        <v>159</v>
      </c>
      <c r="B366" s="2" t="s">
        <v>253</v>
      </c>
      <c r="C366" s="3" t="str">
        <f>HYPERLINK("https://transparencia-area-fim.mpce.mp.br/#/consulta/processo/pastadigital/092021000000456","09.2021.00000045-6")</f>
        <v>09.2021.00000045-6</v>
      </c>
      <c r="D366" s="4">
        <v>45855</v>
      </c>
      <c r="E366" s="16" t="str">
        <f>HYPERLINK("https://www8.mpce.mp.br/Empenhos/150001/Objeto/02-2021.pdf","EMPENHO REF. SUPORTE TÉCNICO DA SOLUÇÃO GUARDIÃO WEB-BY NGC, CONF. CONTRATO 002/2021, REF. JUL, AGO E SET/2025, POR ESTIMATIVA.")</f>
        <v>EMPENHO REF. SUPORTE TÉCNICO DA SOLUÇÃO GUARDIÃO WEB-BY NGC, CONF. CONTRATO 002/2021, REF. JUL, AGO E SET/2025, POR ESTIMATIVA.</v>
      </c>
      <c r="F366" s="2" t="s">
        <v>248</v>
      </c>
      <c r="G366" s="5" t="str">
        <f>HYPERLINK("https://siafe.sefaz.ce.gov.br/Siafe/downloadSignature?token=3fa24afdcf2948bbadf882e48255a83c","2025NE001211")</f>
        <v>2025NE001211</v>
      </c>
      <c r="H366" s="6">
        <v>65352</v>
      </c>
      <c r="I366" s="7" t="s">
        <v>59</v>
      </c>
      <c r="J366" s="10" t="s">
        <v>249</v>
      </c>
    </row>
    <row r="367" spans="1:12" x14ac:dyDescent="0.25">
      <c r="A367" s="12" t="s">
        <v>19</v>
      </c>
      <c r="B367" s="2" t="s">
        <v>243</v>
      </c>
      <c r="C367" s="3" t="str">
        <f>HYPERLINK("https://transparencia-area-fim.mpce.mp.br/#/consulta/processo/pastadigital/092023000117363","09.2023.00011736-3")</f>
        <v>09.2023.00011736-3</v>
      </c>
      <c r="D367" s="4">
        <v>45859</v>
      </c>
      <c r="E367" s="16" t="str">
        <f>HYPERLINK("https://www8.mpce.mp.br/Empenhos/150001/Objeto/32-2023.pdf","EMPENHO REF. DISPONIBILIZAÇÃO DE SOLUÇÃO TECNOLÓGICA, NA MODALIDADE SOFTWARE (SAAS), CONF. CONTRATO 032/2023, REF. JUL, AGO E SET/2025, POR ESTIMATIVA.")</f>
        <v>EMPENHO REF. DISPONIBILIZAÇÃO DE SOLUÇÃO TECNOLÓGICA, NA MODALIDADE SOFTWARE (SAAS), CONF. CONTRATO 032/2023, REF. JUL, AGO E SET/2025, POR ESTIMATIVA.</v>
      </c>
      <c r="F367" s="2" t="s">
        <v>579</v>
      </c>
      <c r="G367" s="5" t="str">
        <f>HYPERLINK("https://siafe.sefaz.ce.gov.br/Siafe/downloadSignature?token=0020c0b1430b4d4d9e55cd8aeff50bde","2025NE001216")</f>
        <v>2025NE001216</v>
      </c>
      <c r="H367" s="6">
        <v>18649.259999999998</v>
      </c>
      <c r="I367" s="7" t="s">
        <v>51</v>
      </c>
      <c r="J367" s="10" t="s">
        <v>212</v>
      </c>
    </row>
    <row r="368" spans="1:12" x14ac:dyDescent="0.25">
      <c r="A368" s="12" t="s">
        <v>19</v>
      </c>
      <c r="B368" s="2" t="s">
        <v>187</v>
      </c>
      <c r="C368" s="3" t="str">
        <f>HYPERLINK("https://transparencia-area-fim.mpce.mp.br/#/consulta/processo/pastadigital/092021000244550","09.2021.00024455-0")</f>
        <v>09.2021.00024455-0</v>
      </c>
      <c r="D368" s="4">
        <v>45859</v>
      </c>
      <c r="E368" s="16" t="str">
        <f>HYPERLINK("https://www8.mpce.mp.br/Empenhos/150001/Objeto/10-2022.pdf","EMPENHO REF. ALUGUEL DE IMÓVEL ONDE FUNCIONA SEDE DE PROMOTORIAS DE JUSTIÇA DA COMARCA DE ICÓ, CONF. CONTRATO 010/2022, REF. JUL, AGO E SET/2025, POR ESTIMATIVA.")</f>
        <v>EMPENHO REF. ALUGUEL DE IMÓVEL ONDE FUNCIONA SEDE DE PROMOTORIAS DE JUSTIÇA DA COMARCA DE ICÓ, CONF. CONTRATO 010/2022, REF. JUL, AGO E SET/2025, POR ESTIMATIVA.</v>
      </c>
      <c r="F368" s="2" t="s">
        <v>130</v>
      </c>
      <c r="G368" s="5" t="str">
        <f>HYPERLINK("https://siafe.sefaz.ce.gov.br/Siafe/downloadSignature?token=c4e97cd223094928919612a5ab0f9e27","2025NE001217")</f>
        <v>2025NE001217</v>
      </c>
      <c r="H368" s="6">
        <v>40459.5</v>
      </c>
      <c r="I368" s="7" t="s">
        <v>25</v>
      </c>
      <c r="J368" s="10" t="s">
        <v>148</v>
      </c>
      <c r="L368" s="13"/>
    </row>
    <row r="369" spans="1:12" x14ac:dyDescent="0.25">
      <c r="A369" s="12" t="s">
        <v>19</v>
      </c>
      <c r="B369" s="2" t="s">
        <v>187</v>
      </c>
      <c r="C369" s="3" t="str">
        <f>HYPERLINK("https://transparencia-area-fim.mpce.mp.br/#/consulta/processo/pastadigital/092022000343840","09.2022.00034384-0")</f>
        <v>09.2022.00034384-0</v>
      </c>
      <c r="D369" s="4">
        <v>45859</v>
      </c>
      <c r="E369" s="16" t="str">
        <f>HYPERLINK("https://www8.mpce.mp.br/Empenhos/150001/Objeto/11-2023.pdf","EMPENHO REF. ALUGUEL DE IMÓVEL ONDE FUNCIONAM PROMOTORIAS DE JUSTIÇA DA COMARCA DE SANTA QUITÉRIA, CONF. CONTRATO 011/2023, REF. JUL, AGO E SET/2025, POR ESTIMATIVA.")</f>
        <v>EMPENHO REF. ALUGUEL DE IMÓVEL ONDE FUNCIONAM PROMOTORIAS DE JUSTIÇA DA COMARCA DE SANTA QUITÉRIA, CONF. CONTRATO 011/2023, REF. JUL, AGO E SET/2025, POR ESTIMATIVA.</v>
      </c>
      <c r="F369" s="2" t="s">
        <v>130</v>
      </c>
      <c r="G369" s="5" t="str">
        <f>HYPERLINK("https://siafe.sefaz.ce.gov.br/Siafe/downloadSignature?token=99a22cc187e24638886918dd6d6ffe82","2025NE001218")</f>
        <v>2025NE001218</v>
      </c>
      <c r="H369" s="6">
        <v>39600</v>
      </c>
      <c r="I369" s="7" t="s">
        <v>55</v>
      </c>
      <c r="J369" s="10" t="s">
        <v>232</v>
      </c>
      <c r="L369" s="13"/>
    </row>
    <row r="370" spans="1:12" x14ac:dyDescent="0.25">
      <c r="A370" s="12" t="s">
        <v>159</v>
      </c>
      <c r="B370" s="2" t="s">
        <v>191</v>
      </c>
      <c r="C370" s="3" t="str">
        <f>HYPERLINK("https://transparencia-area-fim.mpce.mp.br/#/consulta/processo/pastadigital/092024000265223","09.2024.00026522-3")</f>
        <v>09.2024.00026522-3</v>
      </c>
      <c r="D370" s="4">
        <v>45859</v>
      </c>
      <c r="E370" s="16" t="str">
        <f>HYPERLINK("https://www8.mpce.mp.br/Empenhos/150001/Objeto/91-2024.pdf","EMPENHO REF. ALUGUEL DE IMÓVEL ONDE FUNCIONA SEDE DE PROMOTORIAS DE JUSTIÇA DA COMARCA DE JAGUARIBE, CONF. CONTRATO 091/2024, REF. JUL, AGO E SET/2025, POR ESTIMATIVA.")</f>
        <v>EMPENHO REF. ALUGUEL DE IMÓVEL ONDE FUNCIONA SEDE DE PROMOTORIAS DE JUSTIÇA DA COMARCA DE JAGUARIBE, CONF. CONTRATO 091/2024, REF. JUL, AGO E SET/2025, POR ESTIMATIVA.</v>
      </c>
      <c r="F370" s="2" t="s">
        <v>31</v>
      </c>
      <c r="G370" s="5" t="str">
        <f>HYPERLINK("https://siafe.sefaz.ce.gov.br/Siafe/downloadSignature?token=9f47e17a1e424483bf8693083cd62777","2025NE001219")</f>
        <v>2025NE001219</v>
      </c>
      <c r="H370" s="6">
        <v>9000</v>
      </c>
      <c r="I370" s="7" t="s">
        <v>198</v>
      </c>
      <c r="J370" s="10" t="s">
        <v>199</v>
      </c>
      <c r="L370" s="13"/>
    </row>
    <row r="371" spans="1:12" x14ac:dyDescent="0.25">
      <c r="A371" s="12" t="s">
        <v>159</v>
      </c>
      <c r="B371" s="2" t="s">
        <v>580</v>
      </c>
      <c r="C371" s="3" t="str">
        <f>HYPERLINK("https://transparencia-area-fim.mpce.mp.br/#/consulta/processo/pastadigital/092023000287946","09.2023.00028794-6")</f>
        <v>09.2023.00028794-6</v>
      </c>
      <c r="D371" s="4">
        <v>45859</v>
      </c>
      <c r="E371" s="16" t="str">
        <f>HYPERLINK("https://www8.mpce.mp.br/Empenhos/150001/Objeto/59-2023.pdf","EMPENHO REF. LICENÇAS DE SOFTWARE, INCLUINDO IMPLANTAÇÃO, TREINAMENTO, ATUALIZAÇÃO E SUPORTE TÉCNICO, CONF. CONTRATO 059/2023, REF. JUL, AGO E SET/2025, POR ESTIMATIVA.")</f>
        <v>EMPENHO REF. LICENÇAS DE SOFTWARE, INCLUINDO IMPLANTAÇÃO, TREINAMENTO, ATUALIZAÇÃO E SUPORTE TÉCNICO, CONF. CONTRATO 059/2023, REF. JUL, AGO E SET/2025, POR ESTIMATIVA.</v>
      </c>
      <c r="F371" s="2" t="s">
        <v>228</v>
      </c>
      <c r="G371" s="5" t="str">
        <f>HYPERLINK("https://siafe.sefaz.ce.gov.br/Siafe/downloadSignature?token=014e46b7499944d6855df44dac18b3cc","2025NE001220")</f>
        <v>2025NE001220</v>
      </c>
      <c r="H371" s="6">
        <v>7594.5</v>
      </c>
      <c r="I371" s="7" t="s">
        <v>54</v>
      </c>
      <c r="J371" s="10" t="s">
        <v>229</v>
      </c>
      <c r="L371" s="13"/>
    </row>
    <row r="372" spans="1:12" x14ac:dyDescent="0.25">
      <c r="A372" s="12" t="s">
        <v>19</v>
      </c>
      <c r="B372" s="2" t="s">
        <v>581</v>
      </c>
      <c r="C372" s="3" t="str">
        <f>HYPERLINK("https://transparencia-area-fim.mpce.mp.br/#/consulta/processo/pastadigital/092024000382620","09.2024.00038262-0")</f>
        <v>09.2024.00038262-0</v>
      </c>
      <c r="D372" s="4">
        <v>45859</v>
      </c>
      <c r="E372" s="16" t="str">
        <f>HYPERLINK("https://www8.mpce.mp.br/Empenhos/150001/Objeto/02-2025.pdf","EMPENHO REF. SERVIÇOS DE SUPORTE E FORNECIMENTO DOS SERVIÇOS COMPUTACIONAIS DA PLATAFORMA GOOGLE MAPS, CONF. CONTRATO 028/2020, REF. JUL, AGO E SET, POR ESTIMATIVA.")</f>
        <v>EMPENHO REF. SERVIÇOS DE SUPORTE E FORNECIMENTO DOS SERVIÇOS COMPUTACIONAIS DA PLATAFORMA GOOGLE MAPS, CONF. CONTRATO 028/2020, REF. JUL, AGO E SET, POR ESTIMATIVA.</v>
      </c>
      <c r="F372" s="2" t="s">
        <v>279</v>
      </c>
      <c r="G372" s="5" t="str">
        <f>HYPERLINK("https://siafe.sefaz.ce.gov.br/Siafe/downloadSignature?token=4eff3d407bfc4131bd9da95f680e7e84","2025NE001225")</f>
        <v>2025NE001225</v>
      </c>
      <c r="H372" s="6">
        <v>900</v>
      </c>
      <c r="I372" s="7" t="s">
        <v>83</v>
      </c>
      <c r="J372" s="10" t="s">
        <v>322</v>
      </c>
      <c r="L372" s="13"/>
    </row>
    <row r="373" spans="1:12" x14ac:dyDescent="0.25">
      <c r="A373" s="12" t="s">
        <v>19</v>
      </c>
      <c r="B373" s="2" t="s">
        <v>582</v>
      </c>
      <c r="C373" s="3" t="str">
        <f>HYPERLINK("https://transparencia-area-fim.mpce.mp.br/#/consulta/processo/pastadigital/092022000343829","09.2022.00034382-9")</f>
        <v>09.2022.00034382-9</v>
      </c>
      <c r="D373" s="4">
        <v>45860</v>
      </c>
      <c r="E373" s="16" t="str">
        <f>HYPERLINK("https://www8.mpce.mp.br/Empenhos/150001/Objeto/10-2023.pdf","EMPENHO REF. ALUGUEL DE IMÓVEL QUE ABRIGA PROMOTORIAS DE JUSTIÇA DA COMARCA DE ITAPAJÉ-CE, CONF. CONTRATO 010/2023, TERMO DE RECONHECIMENTO DE DÍVIDA 0027/2025/SEFIN E DEA 2025N"&amp;"P000190, RETROATIVO A DEZ/2024 E 04 DIAS PROPORCIONAIS DE NOV/2024.")</f>
        <v>EMPENHO REF. ALUGUEL DE IMÓVEL QUE ABRIGA PROMOTORIAS DE JUSTIÇA DA COMARCA DE ITAPAJÉ-CE, CONF. CONTRATO 010/2023, TERMO DE RECONHECIMENTO DE DÍVIDA 0027/2025/SEFIN E DEA 2025NP000190, RETROATIVO A DEZ/2024 E 04 DIAS PROPORCIONAIS DE NOV/2024.</v>
      </c>
      <c r="F373" s="2" t="s">
        <v>519</v>
      </c>
      <c r="G373" s="5" t="str">
        <f>HYPERLINK("https://siafe.sefaz.ce.gov.br/Siafe/downloadSignature?token=8d7ad4f4e0314444ab5efc76839bd618","2025NE001226")</f>
        <v>2025NE001226</v>
      </c>
      <c r="H373" s="6">
        <v>733.99</v>
      </c>
      <c r="I373" s="7" t="s">
        <v>23</v>
      </c>
      <c r="J373" s="10" t="s">
        <v>135</v>
      </c>
      <c r="L373" s="13"/>
    </row>
    <row r="374" spans="1:12" x14ac:dyDescent="0.25">
      <c r="A374" s="12" t="s">
        <v>159</v>
      </c>
      <c r="B374" s="2" t="s">
        <v>191</v>
      </c>
      <c r="C374" s="3" t="str">
        <f>HYPERLINK("https://transparencia-area-fim.mpce.mp.br/#/consulta/processo/pastadigital/092024000173970","09.2024.00017397-0")</f>
        <v>09.2024.00017397-0</v>
      </c>
      <c r="D374" s="4">
        <v>45860</v>
      </c>
      <c r="E374" s="16" t="str">
        <f>HYPERLINK("https://www8.mpce.mp.br/Empenhos/150001/Objeto/44-2024.pdf","EMPENHO REF. IPTU DE IMÓVEL QUE ABRIGA PROMOTORIAS DE JUSTIÇA DA COMARCA DE ACARAÚ-CE, CONF. CONTRATO 044/2024, REF. 2025 - PARCELA ÚNICA.")</f>
        <v>EMPENHO REF. IPTU DE IMÓVEL QUE ABRIGA PROMOTORIAS DE JUSTIÇA DA COMARCA DE ACARAÚ-CE, CONF. CONTRATO 044/2024, REF. 2025 - PARCELA ÚNICA.</v>
      </c>
      <c r="F374" s="2" t="s">
        <v>323</v>
      </c>
      <c r="G374" s="5" t="str">
        <f>HYPERLINK("https://siafe.sefaz.ce.gov.br/Siafe/downloadSignature?token=8e621ad27c024a94ba31b08f2bdc0f69","2025NE001227")</f>
        <v>2025NE001227</v>
      </c>
      <c r="H374" s="6">
        <v>201.4</v>
      </c>
      <c r="I374" s="7" t="s">
        <v>48</v>
      </c>
      <c r="J374" s="10" t="s">
        <v>196</v>
      </c>
      <c r="L374" s="13"/>
    </row>
    <row r="375" spans="1:12" x14ac:dyDescent="0.25">
      <c r="A375" s="12" t="s">
        <v>159</v>
      </c>
      <c r="B375" s="2" t="s">
        <v>583</v>
      </c>
      <c r="C375" s="3" t="str">
        <f>HYPERLINK("https://transparencia-area-fim.mpce.mp.br/#/consulta/processo/pastadigital/092023000254844","09.2023.00025484-4")</f>
        <v>09.2023.00025484-4</v>
      </c>
      <c r="D375" s="4">
        <v>45860</v>
      </c>
      <c r="E375" s="16" t="str">
        <f>HYPERLINK("https://www8.mpce.mp.br/Empenhos/150001/Objeto/03-2024.pdf","EMPENHO REF. SERVIÇOS DE MANUTENÇÃO PARA EQUIPAMENTOS DE COMPUTAÇÃO, INCLUINDO O SERVIÇO DE MANUTENÇÃO TÉCNICO REMOTO, CONF. CONTRATO 003/2024, REF. JUL, AGO E SET/2025, POR EST"&amp;"IMATIVA.")</f>
        <v>EMPENHO REF. SERVIÇOS DE MANUTENÇÃO PARA EQUIPAMENTOS DE COMPUTAÇÃO, INCLUINDO O SERVIÇO DE MANUTENÇÃO TÉCNICO REMOTO, CONF. CONTRATO 003/2024, REF. JUL, AGO E SET/2025, POR ESTIMATIVA.</v>
      </c>
      <c r="F375" s="2" t="s">
        <v>233</v>
      </c>
      <c r="G375" s="5" t="str">
        <f>HYPERLINK("https://siafe.sefaz.ce.gov.br/Siafe/downloadSignature?token=68ad08c38dce4ce792a2d4a579e92418","2025NE001228")</f>
        <v>2025NE001228</v>
      </c>
      <c r="H375" s="6">
        <v>9080.19</v>
      </c>
      <c r="I375" s="7" t="s">
        <v>56</v>
      </c>
      <c r="J375" s="10" t="s">
        <v>335</v>
      </c>
      <c r="L375" s="13"/>
    </row>
    <row r="376" spans="1:12" x14ac:dyDescent="0.25">
      <c r="A376" s="12" t="s">
        <v>159</v>
      </c>
      <c r="B376" s="2" t="s">
        <v>583</v>
      </c>
      <c r="C376" s="3" t="str">
        <f>HYPERLINK("https://transparencia-area-fim.mpce.mp.br/#/consulta/processo/pastadigital/092025000158084","09.2025.00015808-4")</f>
        <v>09.2025.00015808-4</v>
      </c>
      <c r="D376" s="4">
        <v>45870</v>
      </c>
      <c r="E376" s="17" t="str">
        <f>HYPERLINK("https://www8.mpce.mp.br/Empenhos/150001/Objeto/-2024-1.pdf","EMPENHO REF. SERVIÇOS DE EXTENSÃO DE GARANTIA PARA SOFTWARES INTEGRADOS A EQUIPAMENTOS DO DATACENTER DA PGJ, CONF. CONTRATO 003/2024, REF. JUL, AGO E SET/2025, POR ESTIMATIVA.")</f>
        <v>EMPENHO REF. SERVIÇOS DE EXTENSÃO DE GARANTIA PARA SOFTWARES INTEGRADOS A EQUIPAMENTOS DO DATACENTER DA PGJ, CONF. CONTRATO 003/2024, REF. JUL, AGO E SET/2025, POR ESTIMATIVA.</v>
      </c>
      <c r="F376" s="2" t="s">
        <v>233</v>
      </c>
      <c r="G376" s="5" t="str">
        <f>HYPERLINK("https://siafe.sefaz.ce.gov.br/Siafe/downloadSignature?token=775b7b498dd54a4f8bed71980dc59e06","2025NE001229")</f>
        <v>2025NE001229</v>
      </c>
      <c r="H376" s="6">
        <v>4167.57</v>
      </c>
      <c r="I376" s="7" t="s">
        <v>56</v>
      </c>
      <c r="J376" s="10" t="s">
        <v>234</v>
      </c>
      <c r="L376" s="13"/>
    </row>
    <row r="377" spans="1:12" x14ac:dyDescent="0.25">
      <c r="A377" s="12" t="s">
        <v>19</v>
      </c>
      <c r="B377" s="2" t="s">
        <v>210</v>
      </c>
      <c r="C377" s="3" t="str">
        <f>HYPERLINK("http://www8.mpce.mp.br/Dispensa/3072520194.pdf","30725/2019-4")</f>
        <v>30725/2019-4</v>
      </c>
      <c r="D377" s="4">
        <v>45860</v>
      </c>
      <c r="E377" s="17" t="str">
        <f>HYPERLINK("https://www8.mpce.mp.br/Empenhos/150001/Objeto/06-2020.pdf","EMPENHO REF. SERVIÇOS DE NUVEM E TRANSPORTE DE DADOS POR MEIO DO CINTURÃO DIGITAL DO CEARÁ (CDC), CONF. CONTRATO 006/2020, REF. JUL, AGO E SET/2025, POR ESTIMATIVA.")</f>
        <v>EMPENHO REF. SERVIÇOS DE NUVEM E TRANSPORTE DE DADOS POR MEIO DO CINTURÃO DIGITAL DO CEARÁ (CDC), CONF. CONTRATO 006/2020, REF. JUL, AGO E SET/2025, POR ESTIMATIVA.</v>
      </c>
      <c r="F377" s="2" t="s">
        <v>584</v>
      </c>
      <c r="G377" s="5" t="str">
        <f>HYPERLINK("https://siafe.sefaz.ce.gov.br/Siafe/downloadSignature?token=6f14f8e8b8ae45f38f29d3d5feef8294","2025NE001233")</f>
        <v>2025NE001233</v>
      </c>
      <c r="H377" s="6">
        <v>38715</v>
      </c>
      <c r="I377" s="7" t="s">
        <v>51</v>
      </c>
      <c r="J377" s="10" t="s">
        <v>212</v>
      </c>
      <c r="L377" s="13"/>
    </row>
    <row r="378" spans="1:12" x14ac:dyDescent="0.25">
      <c r="A378" s="12" t="s">
        <v>19</v>
      </c>
      <c r="B378" s="2" t="s">
        <v>585</v>
      </c>
      <c r="C378" s="3" t="str">
        <f>HYPERLINK("https://transparencia-area-fim.mpce.mp.br/#/consulta/processo/pastadigital/092022000343751","09.2022.00034375-1")</f>
        <v>09.2022.00034375-1</v>
      </c>
      <c r="D378" s="4">
        <v>45861</v>
      </c>
      <c r="E378" s="16" t="str">
        <f>HYPERLINK("https://www8.mpce.mp.br/Empenhos/150001/Objeto/08-2023.pdf","EMPENHO REF. ALUGUEL DE IMÓVEL QUE ABRIGA PROMOTORIAS DE JUSTIÇA DA COMARCA DE QUIXERAMOBIM-CE, CONF. 2º TERMO DE APOSTILAMENTO AO CONTRATO 008/2023 E TERMO DE RECONHECIMENTO DE"&amp;" DÍVIDA 0028/2025/SEFIN, REF. REAJUSTE RETROATIVO A SET**, OUT, NOV E DEZ/2024. DEA: 2025NE001243P.**SET: 17 DD PROPORCIONAIS.")</f>
        <v>EMPENHO REF. ALUGUEL DE IMÓVEL QUE ABRIGA PROMOTORIAS DE JUSTIÇA DA COMARCA DE QUIXERAMOBIM-CE, CONF. 2º TERMO DE APOSTILAMENTO AO CONTRATO 008/2023 E TERMO DE RECONHECIMENTO DE DÍVIDA 0028/2025/SEFIN, REF. REAJUSTE RETROATIVO A SET**, OUT, NOV E DEZ/2024. DEA: 2025NE001243P.**SET: 17 DD PROPORCIONAIS.</v>
      </c>
      <c r="F378" s="2" t="s">
        <v>519</v>
      </c>
      <c r="G378" s="5" t="str">
        <f>HYPERLINK("https://siafe.sefaz.ce.gov.br/Siafe/downloadSignature?token=3b729a7e08314699999fd8667488e879","2025NE001243")</f>
        <v>2025NE001243</v>
      </c>
      <c r="H378" s="6">
        <v>2125.73</v>
      </c>
      <c r="I378" s="7" t="s">
        <v>23</v>
      </c>
      <c r="J378" s="10" t="s">
        <v>135</v>
      </c>
    </row>
    <row r="379" spans="1:12" x14ac:dyDescent="0.25">
      <c r="A379" s="12" t="s">
        <v>19</v>
      </c>
      <c r="B379" s="2" t="s">
        <v>380</v>
      </c>
      <c r="C379" s="3" t="str">
        <f>HYPERLINK("https://transparencia-area-fim.mpce.mp.br/#/consulta/processo/pastadigital/092021000064195","09.2021.00006419-5")</f>
        <v>09.2021.00006419-5</v>
      </c>
      <c r="D379" s="4">
        <v>45862</v>
      </c>
      <c r="E379" s="17" t="str">
        <f>HYPERLINK("https://www8.mpce.mp.br/Empenhos/150001/Objeto/41-2021.pdf","EMPENHO REF. ALUGUEL DE IMÓVEL ONDE FUNCIONAM PROMOTORIAS DE JUSTIÇA DA COMARCA DE QUIXADÁ, CONF. CONTRATO 041/2021, REF. JUL, AGO E SET/2025, POR ESTIMATIVA.")</f>
        <v>EMPENHO REF. ALUGUEL DE IMÓVEL ONDE FUNCIONAM PROMOTORIAS DE JUSTIÇA DA COMARCA DE QUIXADÁ, CONF. CONTRATO 041/2021, REF. JUL, AGO E SET/2025, POR ESTIMATIVA.</v>
      </c>
      <c r="F379" s="2" t="s">
        <v>130</v>
      </c>
      <c r="G379" s="5" t="str">
        <f>HYPERLINK("https://siafe.sefaz.ce.gov.br/Siafe/downloadSignature?token=1a4ab627f32649ed8df8313249d52810","2025NE001247")</f>
        <v>2025NE001247</v>
      </c>
      <c r="H379" s="6">
        <v>58089.21</v>
      </c>
      <c r="I379" s="7" t="s">
        <v>23</v>
      </c>
      <c r="J379" s="10" t="s">
        <v>135</v>
      </c>
      <c r="L379" s="13"/>
    </row>
    <row r="380" spans="1:12" x14ac:dyDescent="0.25">
      <c r="A380" s="12" t="s">
        <v>19</v>
      </c>
      <c r="B380" s="2" t="s">
        <v>187</v>
      </c>
      <c r="C380" s="3" t="str">
        <f>HYPERLINK("https://transparencia-area-fim.mpce.mp.br/#/consulta/processo/pastadigital/092022000343829","09.2022.00034382-9")</f>
        <v>09.2022.00034382-9</v>
      </c>
      <c r="D380" s="4">
        <v>45862</v>
      </c>
      <c r="E380" s="16" t="str">
        <f>HYPERLINK("https://www8.mpce.mp.br/Empenhos/150001/Objeto/10-2023.pdf","EMPENHO REF. ALUGUEL DE IMÓVEL ONDE FUNCIONAM PROMOTORIAS DE JUSTIÇA DA COMARCA DE ITAPAJÉ, CONF. CONTRATO 010/2023, REF. REAJUSTE RETROATIVO DE JAN, FEV, MAR, ABR, MAI E JUN/2025.")</f>
        <v>EMPENHO REF. ALUGUEL DE IMÓVEL ONDE FUNCIONAM PROMOTORIAS DE JUSTIÇA DA COMARCA DE ITAPAJÉ, CONF. CONTRATO 010/2023, REF. REAJUSTE RETROATIVO DE JAN, FEV, MAR, ABR, MAI E JUN/2025.</v>
      </c>
      <c r="F380" s="2" t="s">
        <v>130</v>
      </c>
      <c r="G380" s="5" t="str">
        <f>HYPERLINK("https://siafe.sefaz.ce.gov.br/Siafe/downloadSignature?token=59c49cf6af514317a2dfa5b3219f5df7","2025NE001248")</f>
        <v>2025NE001248</v>
      </c>
      <c r="H380" s="6">
        <v>3885.84</v>
      </c>
      <c r="I380" s="7" t="s">
        <v>23</v>
      </c>
      <c r="J380" s="10" t="s">
        <v>135</v>
      </c>
      <c r="L380" s="13"/>
    </row>
    <row r="381" spans="1:12" x14ac:dyDescent="0.25">
      <c r="A381" s="12" t="s">
        <v>19</v>
      </c>
      <c r="B381" s="2" t="s">
        <v>380</v>
      </c>
      <c r="C381" s="3" t="str">
        <f>HYPERLINK("https://transparencia-area-fim.mpce.mp.br/#/consulta/processo/pastadigital/092021000064195","09.2021.00006419-5")</f>
        <v>09.2021.00006419-5</v>
      </c>
      <c r="D381" s="4">
        <v>45862</v>
      </c>
      <c r="E381" s="16" t="str">
        <f>HYPERLINK("https://www8.mpce.mp.br/Empenhos/150001/Objeto/41-2021.pdf","EMPENHO REF. ALUGUEL DE IMÓVEL ONDE FUNCIONAM PROMOTORIAS DE JUSTIÇA DA COMARCA DE QUIXADÁ, CONF. CONTRATO 041/2021, REF. REAJUSTE RETROATIVO DE JAN, FEV, MAR, ABR, MAI E JUN/2025.")</f>
        <v>EMPENHO REF. ALUGUEL DE IMÓVEL ONDE FUNCIONAM PROMOTORIAS DE JUSTIÇA DA COMARCA DE QUIXADÁ, CONF. CONTRATO 041/2021, REF. REAJUSTE RETROATIVO DE JAN, FEV, MAR, ABR, MAI E JUN/2025.</v>
      </c>
      <c r="F381" s="2" t="s">
        <v>130</v>
      </c>
      <c r="G381" s="5" t="str">
        <f>HYPERLINK("https://siafe.sefaz.ce.gov.br/Siafe/downloadSignature?token=db69045315eb4ab2a15ff595d86b6a5d","2025NE001249")</f>
        <v>2025NE001249</v>
      </c>
      <c r="H381" s="6">
        <v>2778.42</v>
      </c>
      <c r="I381" s="7" t="s">
        <v>23</v>
      </c>
      <c r="J381" s="10" t="s">
        <v>135</v>
      </c>
    </row>
    <row r="382" spans="1:12" x14ac:dyDescent="0.25">
      <c r="A382" s="12" t="s">
        <v>159</v>
      </c>
      <c r="B382" s="2" t="s">
        <v>317</v>
      </c>
      <c r="C382" s="3" t="str">
        <f>HYPERLINK("https://transparencia-area-fim.mpce.mp.br/#/consulta/processo/pastadigital/092025000078840","09.2025.00007884-0")</f>
        <v>09.2025.00007884-0</v>
      </c>
      <c r="D382" s="4">
        <v>45782</v>
      </c>
      <c r="E382" s="16" t="s">
        <v>458</v>
      </c>
      <c r="F382" s="2" t="s">
        <v>221</v>
      </c>
      <c r="G382" s="5" t="str">
        <f>HYPERLINK("https://siafe.sefaz.ce.gov.br/Siafe/downloadSignature?token=df77f127be554d078d638fddf9dc23fd","2025NE001250")</f>
        <v>2025NE001250</v>
      </c>
      <c r="H382" s="6">
        <v>5450</v>
      </c>
      <c r="I382" s="7" t="s">
        <v>459</v>
      </c>
      <c r="J382" s="10" t="s">
        <v>460</v>
      </c>
      <c r="L382" s="13"/>
    </row>
    <row r="383" spans="1:12" x14ac:dyDescent="0.25">
      <c r="A383" s="12" t="s">
        <v>19</v>
      </c>
      <c r="B383" s="2" t="s">
        <v>187</v>
      </c>
      <c r="C383" s="3" t="str">
        <f>HYPERLINK("https://transparencia-area-fim.mpce.mp.br/#/consulta/processo/pastadigital/092022000343751","09.2022.00034375-1")</f>
        <v>09.2022.00034375-1</v>
      </c>
      <c r="D383" s="4">
        <v>45862</v>
      </c>
      <c r="E383" s="16" t="str">
        <f>HYPERLINK("https://www8.mpce.mp.br/Empenhos/150001/Objeto/08-2023.pdf","EMPENHO REF. ALUGUEL DE IMÓVEL ONDE FUNCIONAM PROMOTORIAS DE JUSTIÇA DA COMARCA DE QUIXERAMOBIM, CONF. CONTRATO 041/2021, REF. REAJUSTE RETROATIVO DE JAN, FEV, MAR, ABR, MAI E J"&amp;"UN/2025.")</f>
        <v>EMPENHO REF. ALUGUEL DE IMÓVEL ONDE FUNCIONAM PROMOTORIAS DE JUSTIÇA DA COMARCA DE QUIXERAMOBIM, CONF. CONTRATO 041/2021, REF. REAJUSTE RETROATIVO DE JAN, FEV, MAR, ABR, MAI E JUN/2025.</v>
      </c>
      <c r="F383" s="2" t="s">
        <v>130</v>
      </c>
      <c r="G383" s="5" t="str">
        <f>HYPERLINK("https://siafe.sefaz.ce.gov.br/Siafe/downloadSignature?token=d2cead12c90d484581a2744416e03869","2025NE001250")</f>
        <v>2025NE001250</v>
      </c>
      <c r="H383" s="6">
        <v>3576</v>
      </c>
      <c r="I383" s="7" t="s">
        <v>23</v>
      </c>
      <c r="J383" s="10" t="s">
        <v>135</v>
      </c>
      <c r="L383" s="13"/>
    </row>
    <row r="384" spans="1:12" x14ac:dyDescent="0.25">
      <c r="A384" s="12" t="s">
        <v>19</v>
      </c>
      <c r="B384" s="2" t="s">
        <v>187</v>
      </c>
      <c r="C384" s="3" t="str">
        <f>HYPERLINK("https://transparencia-area-fim.mpce.mp.br/#/consulta/processo/pastadigital/092023000338530","09.2023.00033853-0")</f>
        <v>09.2023.00033853-0</v>
      </c>
      <c r="D384" s="4">
        <v>45862</v>
      </c>
      <c r="E384" s="16" t="str">
        <f>HYPERLINK("https://www8.mpce.mp.br/Empenhos/150001/Objeto/05-2024.pdf","EMPENHO REF. IPTU DE IMÓVEL ONDE FUNCIONAM PROMOTORIAS DE JUSTIÇA DA COMARCA DE BATURITÉ-CE, CONF. CONTRATO 005/2024, REF. 2025 - PARCELA ÚNICA.")</f>
        <v>EMPENHO REF. IPTU DE IMÓVEL ONDE FUNCIONAM PROMOTORIAS DE JUSTIÇA DA COMARCA DE BATURITÉ-CE, CONF. CONTRATO 005/2024, REF. 2025 - PARCELA ÚNICA.</v>
      </c>
      <c r="F384" s="2" t="s">
        <v>130</v>
      </c>
      <c r="G384" s="5" t="str">
        <f>HYPERLINK("https://siafe.sefaz.ce.gov.br/Siafe/downloadSignature?token=e8aba28bcb4645088106db276051bd17","2025NE001251")</f>
        <v>2025NE001251</v>
      </c>
      <c r="H384" s="6">
        <v>1014.88</v>
      </c>
      <c r="I384" s="7" t="s">
        <v>21</v>
      </c>
      <c r="J384" s="10" t="s">
        <v>140</v>
      </c>
      <c r="L384" s="13"/>
    </row>
    <row r="385" spans="1:12" x14ac:dyDescent="0.25">
      <c r="A385" s="12" t="s">
        <v>19</v>
      </c>
      <c r="B385" s="2" t="s">
        <v>187</v>
      </c>
      <c r="C385" s="3" t="str">
        <f>HYPERLINK("https://transparencia-area-fim.mpce.mp.br/#/consulta/processo/pastadigital/092023000338563","09.2023.00033856-3")</f>
        <v>09.2023.00033856-3</v>
      </c>
      <c r="D385" s="4">
        <v>45862</v>
      </c>
      <c r="E385" s="16" t="str">
        <f>HYPERLINK("https://www8.mpce.mp.br/Empenhos/150001/Objeto/01-2024.pdf","EMPENHO REF. ALUGUEL DE IMÓVEL ONDE FUNCIONAM PROMOTORIAS DE JUSTIÇA DA COMARCA DE AQUIRAZ, CONF. CONTRATO 001/2024, REF. REAJUSTE RETROATIVO DE JAN**, FEV, MAR, ABR, MAI E JUN/"&amp;"2025, POR ESTIMATIVA.**JAN: 12 DD PROPORCIONAIS.")</f>
        <v>EMPENHO REF. ALUGUEL DE IMÓVEL ONDE FUNCIONAM PROMOTORIAS DE JUSTIÇA DA COMARCA DE AQUIRAZ, CONF. CONTRATO 001/2024, REF. REAJUSTE RETROATIVO DE JAN**, FEV, MAR, ABR, MAI E JUN/2025, POR ESTIMATIVA.**JAN: 12 DD PROPORCIONAIS.</v>
      </c>
      <c r="F385" s="2" t="s">
        <v>130</v>
      </c>
      <c r="G385" s="5" t="str">
        <f>HYPERLINK("https://siafe.sefaz.ce.gov.br/Siafe/downloadSignature?token=9b3b5300123649b898341b883878f590","2025NE001252")</f>
        <v>2025NE001252</v>
      </c>
      <c r="H385" s="6">
        <v>4276.8</v>
      </c>
      <c r="I385" s="7" t="s">
        <v>27</v>
      </c>
      <c r="J385" s="10" t="s">
        <v>154</v>
      </c>
      <c r="L385" s="13"/>
    </row>
    <row r="386" spans="1:12" x14ac:dyDescent="0.25">
      <c r="A386" s="12" t="s">
        <v>159</v>
      </c>
      <c r="B386" s="2" t="s">
        <v>278</v>
      </c>
      <c r="C386" s="3" t="str">
        <f>HYPERLINK("https://transparencia-area-fim.mpce.mp.br/#/consulta/processo/pastadigital/092023000255300","09.2023.00025530-0")</f>
        <v>09.2023.00025530-0</v>
      </c>
      <c r="D386" s="4">
        <v>45862</v>
      </c>
      <c r="E386" s="16" t="str">
        <f>HYPERLINK("https://www8.mpce.mp.br/Empenhos/150001/Objeto/42-2024.pdf","EMPENHO REF. SERVIÇO DO SISTEMA SAJ-MP - SUPORTE ESTENDIDO, CONF. CONTRATO 042/2024, REF. JUL, AGO E SET/2025, POR ESTIMATIVA.")</f>
        <v>EMPENHO REF. SERVIÇO DO SISTEMA SAJ-MP - SUPORTE ESTENDIDO, CONF. CONTRATO 042/2024, REF. JUL, AGO E SET/2025, POR ESTIMATIVA.</v>
      </c>
      <c r="F386" s="2" t="s">
        <v>279</v>
      </c>
      <c r="G386" s="5" t="str">
        <f>HYPERLINK("https://siafe.sefaz.ce.gov.br/Siafe/downloadSignature?token=028ade9327cc48e79796c4b4fe3a3686","2025NE001260")</f>
        <v>2025NE001260</v>
      </c>
      <c r="H386" s="6">
        <v>41690.699999999997</v>
      </c>
      <c r="I386" s="7" t="s">
        <v>73</v>
      </c>
      <c r="J386" s="10" t="s">
        <v>280</v>
      </c>
      <c r="L386" s="13"/>
    </row>
    <row r="387" spans="1:12" x14ac:dyDescent="0.25">
      <c r="A387" s="12" t="s">
        <v>159</v>
      </c>
      <c r="B387" s="2" t="s">
        <v>253</v>
      </c>
      <c r="C387" s="3" t="str">
        <f>HYPERLINK("https://transparencia-area-fim.mpce.mp.br/#/consulta/processo/pastadigital/092021000189150","09.2021.00018915-0")</f>
        <v>09.2021.00018915-0</v>
      </c>
      <c r="D387" s="4">
        <v>45863</v>
      </c>
      <c r="E387" s="16" t="str">
        <f>HYPERLINK("https://www8.mpce.mp.br/Empenhos/150001/Objeto/09-2022.pdf","EMPENHO REF. SERVIÇOS DE EXTENSÃO DE GARANTIA PARA O DATA CENTER, CONF. CONTRATO 009/2022, REF. JUL, AGO E SET/2025, POR ESTIMATIVA.")</f>
        <v>EMPENHO REF. SERVIÇOS DE EXTENSÃO DE GARANTIA PARA O DATA CENTER, CONF. CONTRATO 009/2022, REF. JUL, AGO E SET/2025, POR ESTIMATIVA.</v>
      </c>
      <c r="F387" s="2" t="s">
        <v>264</v>
      </c>
      <c r="G387" s="5" t="str">
        <f>HYPERLINK("https://siafe.sefaz.ce.gov.br/Siafe/downloadSignature?token=f3283a1d2a264b9fbab56171e2e5f0d9","2025NE001261")</f>
        <v>2025NE001261</v>
      </c>
      <c r="H387" s="6">
        <v>58136.01</v>
      </c>
      <c r="I387" s="7" t="s">
        <v>66</v>
      </c>
      <c r="J387" s="10" t="s">
        <v>265</v>
      </c>
      <c r="L387" s="13"/>
    </row>
    <row r="388" spans="1:12" x14ac:dyDescent="0.25">
      <c r="A388" s="12" t="s">
        <v>19</v>
      </c>
      <c r="B388" s="2" t="s">
        <v>586</v>
      </c>
      <c r="C388" s="3" t="str">
        <f>HYPERLINK("https://transparencia-area-fim.mpce.mp.br/#/consulta/processo/pastadigital/092024000268453","09.2024.00026845-3")</f>
        <v>09.2024.00026845-3</v>
      </c>
      <c r="D388" s="4">
        <v>45866</v>
      </c>
      <c r="E388" s="16" t="s">
        <v>587</v>
      </c>
      <c r="F388" s="2" t="s">
        <v>588</v>
      </c>
      <c r="G388" s="5" t="str">
        <f>HYPERLINK("https://siafe.sefaz.ce.gov.br/Siafe/downloadSignature?token=b178f885f4ba4dabbe96251ba0dfaa48","2025NE001263")</f>
        <v>2025NE001263</v>
      </c>
      <c r="H388" s="6">
        <v>49802.17</v>
      </c>
      <c r="I388" s="7" t="s">
        <v>589</v>
      </c>
      <c r="J388" s="10" t="s">
        <v>590</v>
      </c>
      <c r="L388" s="13"/>
    </row>
    <row r="389" spans="1:12" x14ac:dyDescent="0.25">
      <c r="A389" s="12" t="s">
        <v>159</v>
      </c>
      <c r="B389" s="2" t="s">
        <v>317</v>
      </c>
      <c r="C389" s="3" t="str">
        <f>HYPERLINK("https://transparencia-area-fim.mpce.mp.br/#/consulta/processo/pastadigital/092025000046603","09.2025.00004660-3")</f>
        <v>09.2025.00004660-3</v>
      </c>
      <c r="D389" s="4">
        <v>45782</v>
      </c>
      <c r="E389" s="16" t="s">
        <v>461</v>
      </c>
      <c r="F389" s="2" t="s">
        <v>221</v>
      </c>
      <c r="G389" s="5" t="str">
        <f>HYPERLINK("https://siafe.sefaz.ce.gov.br/Siafe/downloadSignature?token=edbd529a06cc421386711a1586b00ab6","2025NE001266")</f>
        <v>2025NE001266</v>
      </c>
      <c r="H389" s="6">
        <v>10000</v>
      </c>
      <c r="I389" s="7" t="s">
        <v>462</v>
      </c>
      <c r="J389" s="10" t="s">
        <v>463</v>
      </c>
      <c r="L389" s="13"/>
    </row>
    <row r="390" spans="1:12" x14ac:dyDescent="0.25">
      <c r="A390" s="12" t="s">
        <v>159</v>
      </c>
      <c r="B390" s="2" t="s">
        <v>317</v>
      </c>
      <c r="C390" s="3" t="str">
        <f>HYPERLINK("https://transparencia-area-fim.mpce.mp.br/#/consulta/processo/pastadigital/092025000073477","09.2025.00007347-7")</f>
        <v>09.2025.00007347-7</v>
      </c>
      <c r="D390" s="4">
        <v>45782</v>
      </c>
      <c r="E390" s="16" t="str">
        <f>HYPERLINK("https://www8.mpce.mp.br/Empenhos/150001/Objeto/13-2025.pdf","EMPENHO REF. AO CURSO PROGRAMA DE QUALIFICAÇÃO EM INVESTIGAÇÃO DIGITAL, NA MODALIDADE EAD, A PARTIR DE MAIO/2025, POR INEXIGIBILIDADE DE LICITAÇÃO, CONF. CONTRATO 013/2025 E ORD"&amp;"EM DE SERVIÇO S/N/2025/ESMP.")</f>
        <v>EMPENHO REF. AO CURSO PROGRAMA DE QUALIFICAÇÃO EM INVESTIGAÇÃO DIGITAL, NA MODALIDADE EAD, A PARTIR DE MAIO/2025, POR INEXIGIBILIDADE DE LICITAÇÃO, CONF. CONTRATO 013/2025 E ORDEM DE SERVIÇO S/N/2025/ESMP.</v>
      </c>
      <c r="F390" s="2" t="s">
        <v>221</v>
      </c>
      <c r="G390" s="5" t="str">
        <f>HYPERLINK("https://siafe.sefaz.ce.gov.br/Siafe/downloadSignature?token=d4dc8ef9495640738be6c904205cbda7","2025NE001268")</f>
        <v>2025NE001268</v>
      </c>
      <c r="H390" s="6">
        <v>49463.86</v>
      </c>
      <c r="I390" s="7" t="s">
        <v>464</v>
      </c>
      <c r="J390" s="10" t="s">
        <v>465</v>
      </c>
      <c r="L390" s="13"/>
    </row>
    <row r="391" spans="1:12" x14ac:dyDescent="0.25">
      <c r="A391" s="12" t="s">
        <v>19</v>
      </c>
      <c r="B391" s="2" t="s">
        <v>187</v>
      </c>
      <c r="C391" s="3" t="str">
        <f>HYPERLINK("http://www8.mpce.mp.br/Dispensa/1984020196.pdf","19840/2019-6")</f>
        <v>19840/2019-6</v>
      </c>
      <c r="D391" s="4">
        <v>45868</v>
      </c>
      <c r="E391" s="17" t="str">
        <f>HYPERLINK("https://www8.mpce.mp.br/Empenhos/150001/Objeto/48-2019.pdf","EMPENHO REF. IPTU DE IMÓVEL ONDE FUNCIONAM PROMOTORIAS DE JUSTIÇA DA COMARCA DE CAUCAIA, CONF. CONTRATO 048/2019, REF. 2025 - PARCELA ÚNICA.")</f>
        <v>EMPENHO REF. IPTU DE IMÓVEL ONDE FUNCIONAM PROMOTORIAS DE JUSTIÇA DA COMARCA DE CAUCAIA, CONF. CONTRATO 048/2019, REF. 2025 - PARCELA ÚNICA.</v>
      </c>
      <c r="F391" s="2" t="s">
        <v>323</v>
      </c>
      <c r="G391" s="5" t="str">
        <f>HYPERLINK("https://siafe.sefaz.ce.gov.br/Siafe/downloadSignature?token=17ae5847fe31457eb9c669e3b7fd26bf","2025NE001273")</f>
        <v>2025NE001273</v>
      </c>
      <c r="H391" s="6">
        <v>5755.77</v>
      </c>
      <c r="I391" s="7" t="s">
        <v>27</v>
      </c>
      <c r="J391" s="10" t="s">
        <v>154</v>
      </c>
      <c r="L391" s="13"/>
    </row>
    <row r="392" spans="1:12" x14ac:dyDescent="0.25">
      <c r="A392" s="12" t="s">
        <v>19</v>
      </c>
      <c r="B392" s="2" t="s">
        <v>381</v>
      </c>
      <c r="C392" s="3" t="str">
        <f>HYPERLINK("https://transparencia-area-fim.mpce.mp.br/#/consulta/processo/pastadigital/092021000157125","09.2021.00015712-5")</f>
        <v>09.2021.00015712-5</v>
      </c>
      <c r="D392" s="4">
        <v>45869</v>
      </c>
      <c r="E392" s="16" t="str">
        <f>HYPERLINK("https://www8.mpce.mp.br/Empenhos/150001/Objeto/32-2021.pdf","EMPENHO REF. SEGURO DE VIDA DOS ESTAGIÁRIOS DO MPCE, CONF. CONTRATO 032/2021, REF. JUL, AGO E SET/2025, POR ESTIMATIVA.")</f>
        <v>EMPENHO REF. SEGURO DE VIDA DOS ESTAGIÁRIOS DO MPCE, CONF. CONTRATO 032/2021, REF. JUL, AGO E SET/2025, POR ESTIMATIVA.</v>
      </c>
      <c r="F392" s="2" t="s">
        <v>245</v>
      </c>
      <c r="G392" s="5" t="str">
        <f>HYPERLINK("https://siafe.sefaz.ce.gov.br/Siafe/downloadSignature?token=9980a1b1a24c4585a0eb565f8e015e60","2025NE001275")</f>
        <v>2025NE001275</v>
      </c>
      <c r="H392" s="6">
        <v>570</v>
      </c>
      <c r="I392" s="7" t="s">
        <v>58</v>
      </c>
      <c r="J392" s="10" t="s">
        <v>246</v>
      </c>
      <c r="L392" s="13"/>
    </row>
    <row r="393" spans="1:12" x14ac:dyDescent="0.25">
      <c r="A393" s="12" t="s">
        <v>19</v>
      </c>
      <c r="B393" s="2" t="s">
        <v>380</v>
      </c>
      <c r="C393" s="3" t="str">
        <f>HYPERLINK("https://transparencia-area-fim.mpce.mp.br/#/consulta/processo/pastadigital/092021000064195","09.2021.00006419-5")</f>
        <v>09.2021.00006419-5</v>
      </c>
      <c r="D393" s="4">
        <v>45869</v>
      </c>
      <c r="E393" s="16" t="str">
        <f>HYPERLINK("https://www8.mpce.mp.br/Empenhos/150001/Objeto/41-2021.pdf","EMPENHO REF. ALUGUEL DE IMÓVEL ONDE FUNCIONAM PROMOTORIAS DE JUSTIÇA DA COMARCA DE QUIXADÁ, CONF. 3º TERMO DE APOSTILAMENTO AO CONTRATO 041/2021 E TERMO DE RECONHECIMENTO DE DÍV"&amp;"IDA 0029/2025/SEFIN, REF. REAJUSTE RETROATIVO DE JUL, AGO, SET, OUT, NOV E DEZ/2024. DEA: 25003999.")</f>
        <v>EMPENHO REF. ALUGUEL DE IMÓVEL ONDE FUNCIONAM PROMOTORIAS DE JUSTIÇA DA COMARCA DE QUIXADÁ, CONF. 3º TERMO DE APOSTILAMENTO AO CONTRATO 041/2021 E TERMO DE RECONHECIMENTO DE DÍVIDA 0029/2025/SEFIN, REF. REAJUSTE RETROATIVO DE JUL, AGO, SET, OUT, NOV E DEZ/2024. DEA: 25003999.</v>
      </c>
      <c r="F393" s="2" t="s">
        <v>519</v>
      </c>
      <c r="G393" s="5" t="str">
        <f>HYPERLINK("https://siafe.sefaz.ce.gov.br/Siafe/downloadSignature?token=2163848798894bcfb324d6c81b525f76","2025NE001279")</f>
        <v>2025NE001279</v>
      </c>
      <c r="H393" s="6">
        <v>2778.42</v>
      </c>
      <c r="I393" s="7" t="s">
        <v>23</v>
      </c>
      <c r="J393" s="10" t="s">
        <v>135</v>
      </c>
      <c r="L393" s="13"/>
    </row>
    <row r="394" spans="1:12" x14ac:dyDescent="0.25">
      <c r="A394" s="12" t="s">
        <v>19</v>
      </c>
      <c r="B394" s="2" t="s">
        <v>243</v>
      </c>
      <c r="C394" s="3" t="str">
        <f>HYPERLINK("https://transparencia-area-fim.mpce.mp.br/#/consulta/processo/pastadigital/092024000176845","09.2024.00017684-5")</f>
        <v>09.2024.00017684-5</v>
      </c>
      <c r="D394" s="4">
        <v>45870</v>
      </c>
      <c r="E394" s="16" t="str">
        <f>HYPERLINK("https://www8.mpce.mp.br/Empenhos/150001/Objeto/58-2024.pdf","EMPENHO REF. SERVIÇOS ESPECIALIZADOS EM SEGURANÇA (ANTIVÍRUS), CONF. CONTRATO 058/2024, REF. JUL, AGO E SET/2025, POR ESTIMATIVA.")</f>
        <v>EMPENHO REF. SERVIÇOS ESPECIALIZADOS EM SEGURANÇA (ANTIVÍRUS), CONF. CONTRATO 058/2024, REF. JUL, AGO E SET/2025, POR ESTIMATIVA.</v>
      </c>
      <c r="F394" s="2" t="s">
        <v>211</v>
      </c>
      <c r="G394" s="5" t="str">
        <f>HYPERLINK("https://siafe.sefaz.ce.gov.br/Siafe/downloadSignature?token=04a7c0f732924ee5ad74d0f8585b2751","2025NE001281")</f>
        <v>2025NE001281</v>
      </c>
      <c r="H394" s="6">
        <v>368851.95</v>
      </c>
      <c r="I394" s="7" t="s">
        <v>51</v>
      </c>
      <c r="J394" s="10" t="s">
        <v>212</v>
      </c>
      <c r="L394" s="13"/>
    </row>
    <row r="395" spans="1:12" x14ac:dyDescent="0.25">
      <c r="A395" s="12" t="s">
        <v>159</v>
      </c>
      <c r="B395" s="2" t="s">
        <v>278</v>
      </c>
      <c r="C395" s="3" t="str">
        <f>HYPERLINK("https://transparencia-area-fim.mpce.mp.br/#/consulta/processo/pastadigital/092023000255300","09.2023.00025530-0")</f>
        <v>09.2023.00025530-0</v>
      </c>
      <c r="D395" s="4">
        <v>45870</v>
      </c>
      <c r="E395" s="16" t="str">
        <f>HYPERLINK("https://www8.mpce.mp.br/Empenhos/150001/Objeto/42-2024.pdf","EMPENHO REF. SERVIÇO DO SISTEMA SAJMP - GETF, CONF. CONTRATO 042/2024, REF. JUL, AGO E SET/2025, POR ESTIMATIVA.")</f>
        <v>EMPENHO REF. SERVIÇO DO SISTEMA SAJMP - GETF, CONF. CONTRATO 042/2024, REF. JUL, AGO E SET/2025, POR ESTIMATIVA.</v>
      </c>
      <c r="F395" s="2" t="s">
        <v>284</v>
      </c>
      <c r="G395" s="5" t="str">
        <f>HYPERLINK("https://siafe.sefaz.ce.gov.br/Siafe/downloadSignature?token=9f78a2e2624c4749a7f9fcee6e51dcab","2025NE001284")</f>
        <v>2025NE001284</v>
      </c>
      <c r="H395" s="6">
        <v>460284</v>
      </c>
      <c r="I395" s="7" t="s">
        <v>73</v>
      </c>
      <c r="J395" s="10" t="s">
        <v>280</v>
      </c>
      <c r="L395" s="13"/>
    </row>
    <row r="396" spans="1:12" x14ac:dyDescent="0.25">
      <c r="A396" s="12" t="s">
        <v>159</v>
      </c>
      <c r="B396" s="2" t="s">
        <v>278</v>
      </c>
      <c r="C396" s="3" t="str">
        <f>HYPERLINK("https://transparencia-area-fim.mpce.mp.br/#/consulta/processo/pastadigital/092023000255300","09.2023.00025530-0")</f>
        <v>09.2023.00025530-0</v>
      </c>
      <c r="D396" s="4">
        <v>45870</v>
      </c>
      <c r="E396" s="17" t="str">
        <f>HYPERLINK("https://www8.mpce.mp.br/Empenhos/150001/Objeto/42-2024.pdf","EMPENHO REF. SERVIÇO DO SISTEMA SAJ-MP - SOB DEMANDA, CONF. CONTRATO 042/2024, REF. JUL, AGO E SET/2025, POR ESTIMATIVA.")</f>
        <v>EMPENHO REF. SERVIÇO DO SISTEMA SAJ-MP - SOB DEMANDA, CONF. CONTRATO 042/2024, REF. JUL, AGO E SET/2025, POR ESTIMATIVA.</v>
      </c>
      <c r="F396" s="2" t="s">
        <v>279</v>
      </c>
      <c r="G396" s="5" t="str">
        <f>HYPERLINK("https://siafe.sefaz.ce.gov.br/Siafe/downloadSignature?token=31144ea4ca804c3e8fa87ca4495bee27","2025NE001285")</f>
        <v>2025NE001285</v>
      </c>
      <c r="H396" s="6">
        <v>132000</v>
      </c>
      <c r="I396" s="7" t="s">
        <v>73</v>
      </c>
      <c r="J396" s="10" t="s">
        <v>280</v>
      </c>
      <c r="L396" s="13"/>
    </row>
    <row r="397" spans="1:12" x14ac:dyDescent="0.25">
      <c r="A397" s="12" t="s">
        <v>159</v>
      </c>
      <c r="B397" s="2" t="s">
        <v>278</v>
      </c>
      <c r="C397" s="3" t="str">
        <f>HYPERLINK("https://transparencia-area-fim.mpce.mp.br/#/consulta/processo/pastadigital/092023000255300","09.2023.00025530-0")</f>
        <v>09.2023.00025530-0</v>
      </c>
      <c r="D397" s="4">
        <v>45870</v>
      </c>
      <c r="E397" s="16" t="str">
        <f>HYPERLINK("https://www8.mpce.mp.br/Empenhos/150001/Objeto/42-2024.pdf","EMPENHO REF. SERVIÇO DO SISTEMA SAJ-MP - HOSPEDAGEM EM NUVEM, CONF. CONTRATO 042/2024, REF. JUL, AGO E SET/2025, POR ESTIMATIVA.")</f>
        <v>EMPENHO REF. SERVIÇO DO SISTEMA SAJ-MP - HOSPEDAGEM EM NUVEM, CONF. CONTRATO 042/2024, REF. JUL, AGO E SET/2025, POR ESTIMATIVA.</v>
      </c>
      <c r="F397" s="2" t="s">
        <v>283</v>
      </c>
      <c r="G397" s="5" t="str">
        <f>HYPERLINK("https://siafe.sefaz.ce.gov.br/Siafe/downloadSignature?token=a00721a665554b3db7e4be6469e0a3e9","2025NE001286")</f>
        <v>2025NE001286</v>
      </c>
      <c r="H397" s="6">
        <v>313500</v>
      </c>
      <c r="I397" s="7" t="s">
        <v>73</v>
      </c>
      <c r="J397" s="10" t="s">
        <v>280</v>
      </c>
      <c r="L397" s="13"/>
    </row>
    <row r="398" spans="1:12" x14ac:dyDescent="0.25">
      <c r="A398" s="12" t="s">
        <v>159</v>
      </c>
      <c r="B398" s="2" t="s">
        <v>278</v>
      </c>
      <c r="C398" s="3" t="str">
        <f>HYPERLINK("https://transparencia-area-fim.mpce.mp.br/#/consulta/processo/pastadigital/092023000255300","09.2023.00025530-0")</f>
        <v>09.2023.00025530-0</v>
      </c>
      <c r="D398" s="4">
        <v>45870</v>
      </c>
      <c r="E398" s="16" t="str">
        <f>HYPERLINK("https://www8.mpce.mp.br/Empenhos/150001/Objeto/42-2024.pdf","EMPENHO REF. SERVIÇO DO SISTEMA SAJ-MP - SUSTENTAÇÃO, CONF. CONTRATO 042/2024, REF. JUL, AGO E SET/2025, POR ESTIMATIVA.")</f>
        <v>EMPENHO REF. SERVIÇO DO SISTEMA SAJ-MP - SUSTENTAÇÃO, CONF. CONTRATO 042/2024, REF. JUL, AGO E SET/2025, POR ESTIMATIVA.</v>
      </c>
      <c r="F398" s="2" t="s">
        <v>279</v>
      </c>
      <c r="G398" s="5" t="str">
        <f>HYPERLINK("https://siafe.sefaz.ce.gov.br/Siafe/downloadSignature?token=05d3be4749ec4c6880a77ee526e9dae6","2025NE001287")</f>
        <v>2025NE001287</v>
      </c>
      <c r="H398" s="6">
        <v>247824</v>
      </c>
      <c r="I398" s="7" t="s">
        <v>73</v>
      </c>
      <c r="J398" s="10" t="s">
        <v>280</v>
      </c>
      <c r="L398" s="13"/>
    </row>
    <row r="399" spans="1:12" x14ac:dyDescent="0.25">
      <c r="A399" s="12" t="s">
        <v>159</v>
      </c>
      <c r="B399" s="2" t="s">
        <v>278</v>
      </c>
      <c r="C399" s="3" t="str">
        <f>HYPERLINK("https://transparencia-area-fim.mpce.mp.br/#/consulta/processo/pastadigital/092023000255300","09.2023.00025530-0")</f>
        <v>09.2023.00025530-0</v>
      </c>
      <c r="D399" s="4">
        <v>45870</v>
      </c>
      <c r="E399" s="16" t="str">
        <f>HYPERLINK("https://www8.mpce.mp.br/Empenhos/150001/Objeto/42-2024.pdf","EMPENHO REF. SERVIÇO DO SISTEMA SAJ-MP - SUPORTE 1º NÍVEL, CONF. CONTRATO 042/2024, REF. JUL, AGO E SET/2025, POR ESTIMATIVA.")</f>
        <v>EMPENHO REF. SERVIÇO DO SISTEMA SAJ-MP - SUPORTE 1º NÍVEL, CONF. CONTRATO 042/2024, REF. JUL, AGO E SET/2025, POR ESTIMATIVA.</v>
      </c>
      <c r="F399" s="2" t="s">
        <v>279</v>
      </c>
      <c r="G399" s="5" t="str">
        <f>HYPERLINK("https://siafe.sefaz.ce.gov.br/Siafe/downloadSignature?token=3d77ac775231419eb7f1b94014eadc6f","2025NE001288")</f>
        <v>2025NE001288</v>
      </c>
      <c r="H399" s="6">
        <v>513561.59999999998</v>
      </c>
      <c r="I399" s="7" t="s">
        <v>73</v>
      </c>
      <c r="J399" s="10" t="s">
        <v>280</v>
      </c>
      <c r="L399" s="13"/>
    </row>
    <row r="400" spans="1:12" x14ac:dyDescent="0.25">
      <c r="A400" s="12" t="s">
        <v>159</v>
      </c>
      <c r="B400" s="2" t="s">
        <v>591</v>
      </c>
      <c r="C400" s="3" t="str">
        <f>HYPERLINK("https://transparencia-area-fim.mpce.mp.br/#/consulta/processo/pastadigital/092023000385590","09.2023.00038559-0")</f>
        <v>09.2023.00038559-0</v>
      </c>
      <c r="D400" s="4">
        <v>45870</v>
      </c>
      <c r="E400" s="17" t="str">
        <f>HYPERLINK("https://www8.mpce.mp.br/Empenhos/150001/Objeto/25-2024.pdf","LICENÇAS DE ACESSO ÁS PLATAFORMAS DE SAÚDE FÍSICA WELLHUB E MENAL WELLZ PARA MEMBROS E SERVIDORES DO MP-CE, POR ESTIMATIVA E PARA OS MESES DE JULHO, AGOSTO E SETEMBRO/2025, CONF"&amp;"ORME CONTRATO 025/2024.")</f>
        <v>LICENÇAS DE ACESSO ÁS PLATAFORMAS DE SAÚDE FÍSICA WELLHUB E MENAL WELLZ PARA MEMBROS E SERVIDORES DO MP-CE, POR ESTIMATIVA E PARA OS MESES DE JULHO, AGOSTO E SETEMBRO/2025, CONFORME CONTRATO 025/2024.</v>
      </c>
      <c r="F400" s="2" t="s">
        <v>228</v>
      </c>
      <c r="G400" s="5" t="str">
        <f>HYPERLINK("https://siafe.sefaz.ce.gov.br/Siafe/downloadSignature?token=45e455bacc704ccab2254f02e9ee25a7","2025NE001289")</f>
        <v>2025NE001289</v>
      </c>
      <c r="H400" s="6">
        <v>161545.01999999999</v>
      </c>
      <c r="I400" s="7" t="s">
        <v>57</v>
      </c>
      <c r="J400" s="10" t="s">
        <v>242</v>
      </c>
      <c r="L400" s="13"/>
    </row>
    <row r="401" spans="1:14" x14ac:dyDescent="0.25">
      <c r="A401" s="12" t="s">
        <v>19</v>
      </c>
      <c r="B401" s="2" t="s">
        <v>243</v>
      </c>
      <c r="C401" s="3" t="str">
        <f>HYPERLINK("https://transparencia-area-fim.mpce.mp.br/#/consulta/processo/pastadigital/092023000388810","09.2023.00038881-0")</f>
        <v>09.2023.00038881-0</v>
      </c>
      <c r="D401" s="4">
        <v>45870</v>
      </c>
      <c r="E401" s="16" t="str">
        <f>HYPERLINK("https://www8.mpce.mp.br/Empenhos/150001/Objeto/22-2024.pdf","EMPENHO REF. SERVIÇOS DE SOLUÇÃO EM NUVEM DE PROTEÇÃO, GESTÃO, AVALIAÇÃO DE POSTURA E CONECTIVIDADE PARA NUVEM, INCLUINDO IMPLANTAÇÃO, MONITORAMENTO E SUPORTE TÉCNICO, CONF. CON"&amp;"TRATO 022/2024, REF. JUL, AGO E SET/2025, POR ESTIMATIVA.")</f>
        <v>EMPENHO REF. SERVIÇOS DE SOLUÇÃO EM NUVEM DE PROTEÇÃO, GESTÃO, AVALIAÇÃO DE POSTURA E CONECTIVIDADE PARA NUVEM, INCLUINDO IMPLANTAÇÃO, MONITORAMENTO E SUPORTE TÉCNICO, CONF. CONTRATO 022/2024, REF. JUL, AGO E SET/2025, POR ESTIMATIVA.</v>
      </c>
      <c r="F401" s="2" t="s">
        <v>211</v>
      </c>
      <c r="G401" s="5" t="str">
        <f>HYPERLINK("https://siafe.sefaz.ce.gov.br/Siafe/downloadSignature?token=6f5cf1f8ec5346429aff81229feebf6a","2025NE001291")</f>
        <v>2025NE001291</v>
      </c>
      <c r="H401" s="6">
        <v>107155.5</v>
      </c>
      <c r="I401" s="7" t="s">
        <v>51</v>
      </c>
      <c r="J401" s="10" t="s">
        <v>212</v>
      </c>
      <c r="L401" s="13"/>
    </row>
    <row r="402" spans="1:14" x14ac:dyDescent="0.25">
      <c r="A402" s="12" t="s">
        <v>19</v>
      </c>
      <c r="B402" s="2" t="s">
        <v>187</v>
      </c>
      <c r="C402" s="3" t="str">
        <f>HYPERLINK("http://www8.mpce.mp.br/Dispensa/842220170.pdf","8422/20170")</f>
        <v>8422/20170</v>
      </c>
      <c r="D402" s="4">
        <v>45874</v>
      </c>
      <c r="E402" s="16" t="str">
        <f>HYPERLINK("https://www8.mpce.mp.br/Empenhos/150001/Objeto/16-2017.pdf","EMPENHO REF. ALUGUEL DE IMÓVEL ONDE FUNCIONA SEDE DE PROMOTORIAS DE JUSTIÇA CRIMINAIS DA COMARCA DE FORTALEZA, CONF. CONTRATO 016/2017, REF. JUL, AGO E SET/2025, POR ESTIMATIVA.")</f>
        <v>EMPENHO REF. ALUGUEL DE IMÓVEL ONDE FUNCIONA SEDE DE PROMOTORIAS DE JUSTIÇA CRIMINAIS DA COMARCA DE FORTALEZA, CONF. CONTRATO 016/2017, REF. JUL, AGO E SET/2025, POR ESTIMATIVA.</v>
      </c>
      <c r="F402" s="2" t="s">
        <v>130</v>
      </c>
      <c r="G402" s="5" t="str">
        <f>HYPERLINK("https://siafe.sefaz.ce.gov.br/Siafe/downloadSignature?token=b86c6c64aeb640c08e7e4887715a9409","2025NE001306")</f>
        <v>2025NE001306</v>
      </c>
      <c r="H402" s="6">
        <v>184260.66</v>
      </c>
      <c r="I402" s="7" t="s">
        <v>29</v>
      </c>
      <c r="J402" s="10" t="s">
        <v>158</v>
      </c>
      <c r="L402" s="13"/>
    </row>
    <row r="403" spans="1:14" x14ac:dyDescent="0.25">
      <c r="A403" s="12" t="s">
        <v>19</v>
      </c>
      <c r="B403" s="2" t="s">
        <v>615</v>
      </c>
      <c r="C403" s="3" t="str">
        <f>HYPERLINK("https://transparencia-area-fim.mpce.mp.br/#/consulta/processo/pastadigital/092021000063220","09.2021.00006322-0")</f>
        <v>09.2021.00006322-0</v>
      </c>
      <c r="D403" s="4">
        <v>45874</v>
      </c>
      <c r="E403" s="16" t="str">
        <f>HYPERLINK("https://www8.mpce.mp.br/Empenhos/150001/Objeto/33-2021.pdf","	ALUGUEIS DOS IMÓVEL ONDE FUNCIONAM AS PROMOTORIAS DE JUSTIÇA DA COMARCA DE SOBRAL, POR ESTIMATIVA RELATIVOS AOS MESES DE JULHO A SETEMBRO DE 2025, CONFORME CONTRATO 033/2021.")</f>
        <v xml:space="preserve">	ALUGUEIS DOS IMÓVEL ONDE FUNCIONAM AS PROMOTORIAS DE JUSTIÇA DA COMARCA DE SOBRAL, POR ESTIMATIVA RELATIVOS AOS MESES DE JULHO A SETEMBRO DE 2025, CONFORME CONTRATO 033/2021.</v>
      </c>
      <c r="F403" s="2" t="s">
        <v>130</v>
      </c>
      <c r="G403" s="5" t="str">
        <f>HYPERLINK("https://siafe.sefaz.ce.gov.br/Siafe/downloadSignature?token=fac74c8a41204cc4b38ed9b765631a5a","2025NE001307")</f>
        <v>2025NE001307</v>
      </c>
      <c r="H403" s="6">
        <v>100200.33</v>
      </c>
      <c r="I403" s="7" t="s">
        <v>21</v>
      </c>
      <c r="J403" s="10" t="s">
        <v>140</v>
      </c>
      <c r="L403" s="13"/>
    </row>
    <row r="404" spans="1:14" x14ac:dyDescent="0.25">
      <c r="A404" s="12" t="s">
        <v>19</v>
      </c>
      <c r="B404" s="2" t="s">
        <v>616</v>
      </c>
      <c r="C404" s="3" t="str">
        <f>HYPERLINK("https://transparencia-area-fim.mpce.mp.br/#/consulta/processo/pastadigital/092022000230870","09.2022.00023087-0")</f>
        <v>09.2022.00023087-0</v>
      </c>
      <c r="D404" s="4">
        <v>45874</v>
      </c>
      <c r="E404" s="16" t="str">
        <f>HYPERLINK("https://www8.mpce.mp.br/Empenhos/150001/Objeto/29-2022.pdf","LOCAÇÃO DE IMÓVEL ONDE FUNCIONA SEDE DE PROMOTORIAS DE JUSTIÇA DA COMARCA DE JUAZEIRO DO NORTE,POR ESTIMATIVA, RELATIVOS AOS MESES DE JULHO A SETEMBRO DE 2025, CONFORME CONTRATO"&amp;" 029/2022.")</f>
        <v>LOCAÇÃO DE IMÓVEL ONDE FUNCIONA SEDE DE PROMOTORIAS DE JUSTIÇA DA COMARCA DE JUAZEIRO DO NORTE,POR ESTIMATIVA, RELATIVOS AOS MESES DE JULHO A SETEMBRO DE 2025, CONFORME CONTRATO 029/2022.</v>
      </c>
      <c r="F404" s="2" t="s">
        <v>130</v>
      </c>
      <c r="G404" s="5" t="str">
        <f>HYPERLINK("https://siafe.sefaz.ce.gov.br/Siafe/downloadSignature?token=cf70f6ed71f6437db5eb7e8a8d4f7783","2025NE001308")</f>
        <v>2025NE001308</v>
      </c>
      <c r="H404" s="6">
        <v>206051.22</v>
      </c>
      <c r="I404" s="7" t="s">
        <v>20</v>
      </c>
      <c r="J404" s="10" t="s">
        <v>138</v>
      </c>
      <c r="L404" s="13"/>
    </row>
    <row r="405" spans="1:14" x14ac:dyDescent="0.25">
      <c r="A405" s="12" t="s">
        <v>159</v>
      </c>
      <c r="B405" s="2" t="s">
        <v>466</v>
      </c>
      <c r="C405" s="3" t="str">
        <f>HYPERLINK("https://transparencia-area-fim.mpce.mp.br/#/consulta/processo/pastadigital/092023000045740","09.2023.00004574-0")</f>
        <v>09.2023.00004574-0</v>
      </c>
      <c r="D405" s="4">
        <v>45785</v>
      </c>
      <c r="E405" s="16" t="str">
        <f>HYPERLINK("https://www8.mpce.mp.br/Empenhos/150001/Objeto/12-2025.pdf","CURSO DE FORMAÇÃO CONTINUADA: ATENDIMENTO PSICOSSOCIAL A VÍTIMAS DE VIOLÊNCIA, COM CARGA HORÁRIA DE 64H/A, PARA CAPACITAR MEMBROS,SERVIDORES E COLABORADORES VINCULADOS AO NUAVV,"&amp;" E PARA ATENDER AO CONVÊNIO 937138/2022/MJSP/DEPEN")</f>
        <v>CURSO DE FORMAÇÃO CONTINUADA: ATENDIMENTO PSICOSSOCIAL A VÍTIMAS DE VIOLÊNCIA, COM CARGA HORÁRIA DE 64H/A, PARA CAPACITAR MEMBROS,SERVIDORES E COLABORADORES VINCULADOS AO NUAVV, E PARA ATENDER AO CONVÊNIO 937138/2022/MJSP/DEPEN</v>
      </c>
      <c r="F405" s="2" t="s">
        <v>214</v>
      </c>
      <c r="G405" s="5" t="str">
        <f>HYPERLINK("https://siafe.sefaz.ce.gov.br/Siafe/downloadSignature?token=ea3d5bb4b9a24bc4a346fc8350a5b288","2025NE001311")</f>
        <v>2025NE001311</v>
      </c>
      <c r="H405" s="6">
        <v>48050</v>
      </c>
      <c r="I405" s="7" t="s">
        <v>467</v>
      </c>
      <c r="J405" s="10" t="s">
        <v>468</v>
      </c>
      <c r="L405" s="13"/>
    </row>
    <row r="406" spans="1:14" x14ac:dyDescent="0.25">
      <c r="A406" s="12" t="s">
        <v>159</v>
      </c>
      <c r="B406" s="2" t="s">
        <v>278</v>
      </c>
      <c r="C406" s="3" t="str">
        <f>HYPERLINK("https://transparencia-area-fim.mpce.mp.br/#/consulta/processo/pastadigital/092023000255300","09.2023.00025530-0")</f>
        <v>09.2023.00025530-0</v>
      </c>
      <c r="D406" s="4">
        <v>45875</v>
      </c>
      <c r="E406" s="17" t="str">
        <f>HYPERLINK("https://www8.mpce.mp.br/Empenhos/150001/Objeto/42-2024.pdf","EMPENHO REF. SERVIÇO DO SISTEMA SAJ-MP - ACOMPANHAMENTO DA OPERAÇÃO, CONF. CONTRATO 042/2024, REF. JUL, AGO E SET/2025, POR ESTIMATIVA.")</f>
        <v>EMPENHO REF. SERVIÇO DO SISTEMA SAJ-MP - ACOMPANHAMENTO DA OPERAÇÃO, CONF. CONTRATO 042/2024, REF. JUL, AGO E SET/2025, POR ESTIMATIVA.</v>
      </c>
      <c r="F406" s="2" t="s">
        <v>279</v>
      </c>
      <c r="G406" s="5" t="str">
        <f>HYPERLINK("https://siafe.sefaz.ce.gov.br/Siafe/downloadSignature?token=8bc97734177f4eb5b2007bba684c8761","2025NE001345")</f>
        <v>2025NE001345</v>
      </c>
      <c r="H406" s="6">
        <v>218571</v>
      </c>
      <c r="I406" s="7" t="s">
        <v>73</v>
      </c>
      <c r="J406" s="10" t="s">
        <v>280</v>
      </c>
      <c r="L406" s="13"/>
    </row>
    <row r="407" spans="1:14" x14ac:dyDescent="0.25">
      <c r="A407" s="12" t="s">
        <v>19</v>
      </c>
      <c r="B407" s="2" t="s">
        <v>617</v>
      </c>
      <c r="C407" s="3" t="str">
        <f>HYPERLINK("https://transparencia-area-fim.mpce.mp.br/#/consulta/processo/pastadigital/092023000287468","09.2023.00028746-8")</f>
        <v>09.2023.00028746-8</v>
      </c>
      <c r="D407" s="4">
        <v>45876</v>
      </c>
      <c r="E407" s="16" t="str">
        <f>HYPERLINK("https://www8.mpce.mp.br/Empenhos/150001/Objeto/58-2023.pdf","EMPENHO REF. SUPORTE TÉCNICO PARA DESENVOLVIMENTO E IMPLANTAÇÃO DE CAMADA DE INTEROPERABILIDADE, INCLUINDO SERVIÇOS DE INTEGRAÇÃO DE SISTEMAS, CONF. CONTRATO 058/2023, REF. AGO,"&amp;" SET E OUT/2025, POR ESTIMATIVA.")</f>
        <v>EMPENHO REF. SUPORTE TÉCNICO PARA DESENVOLVIMENTO E IMPLANTAÇÃO DE CAMADA DE INTEROPERABILIDADE, INCLUINDO SERVIÇOS DE INTEGRAÇÃO DE SISTEMAS, CONF. CONTRATO 058/2023, REF. AGO, SET E OUT/2025, POR ESTIMATIVA.</v>
      </c>
      <c r="F407" s="2" t="s">
        <v>231</v>
      </c>
      <c r="G407" s="5" t="str">
        <f>HYPERLINK("https://siafe.sefaz.ce.gov.br/Siafe/downloadSignature?token=ff0ee2d078c045e09c31cac4b4965606","2025NE001349")</f>
        <v>2025NE001349</v>
      </c>
      <c r="H407" s="6">
        <v>225960</v>
      </c>
      <c r="I407" s="7" t="s">
        <v>51</v>
      </c>
      <c r="J407" s="10" t="s">
        <v>212</v>
      </c>
      <c r="L407" s="13"/>
    </row>
    <row r="408" spans="1:14" x14ac:dyDescent="0.25">
      <c r="A408" s="12" t="s">
        <v>159</v>
      </c>
      <c r="B408" s="2" t="s">
        <v>469</v>
      </c>
      <c r="C408" s="3" t="str">
        <f>HYPERLINK("https://transparencia-area-fim.mpce.mp.br/#/consulta/processo/pastadigital/092025000034807","09.2025.00003480-7")</f>
        <v>09.2025.00003480-7</v>
      </c>
      <c r="D408" s="4">
        <v>45793</v>
      </c>
      <c r="E408" s="16" t="str">
        <f>HYPERLINK("https://www8.mpce.mp.br/Empenhos/150001/Objeto/14-2025.pdf","CONTRATAÇÃO DE EMPRESA PARA PRESTAÇÃO DE SERVIÇO DE CAPACITAÇÃO EM LIDERANÇA VOLTADA AOS SERVIDORES DO MINISTÉRIO PÚBLICO DO ESTADO DO CEARÁ,  A SER PRESTADO NA SEDE DA PROCURAD"&amp;"ORIA GERAL DE JUSTIÇA, LOCALIZADA NO ENDEREÇO: AV. GENERAL AFONSO ALBUQUERQUE LIMA, 130, CAMBEBA, FORTALEZA/CE. CEP 60822-325, NO PERÍODO DE MAIO A NOVEMBRO DE 2025, DE ACORDO COM O CRONOGRAMA FORNECIDO PELA SEGEP, CONF. ORDEM DE SERVIÇO Nº 12/2025/S"&amp;"EGEP E CONTRATO Nº 014/2025.")</f>
        <v>CONTRATAÇÃO DE EMPRESA PARA PRESTAÇÃO DE SERVIÇO DE CAPACITAÇÃO EM LIDERANÇA VOLTADA AOS SERVIDORES DO MINISTÉRIO PÚBLICO DO ESTADO DO CEARÁ,  A SER PRESTADO NA SEDE DA PROCURADORIA GERAL DE JUSTIÇA, LOCALIZADA NO ENDEREÇO: AV. GENERAL AFONSO ALBUQUERQUE LIMA, 130, CAMBEBA, FORTALEZA/CE. CEP 60822-325, NO PERÍODO DE MAIO A NOVEMBRO DE 2025, DE ACORDO COM O CRONOGRAMA FORNECIDO PELA SEGEP, CONF. ORDEM DE SERVIÇO Nº 12/2025/SEGEP E CONTRATO Nº 014/2025.</v>
      </c>
      <c r="F408" s="2" t="s">
        <v>221</v>
      </c>
      <c r="G408" s="5" t="str">
        <f>HYPERLINK("https://siafe.sefaz.ce.gov.br/Siafe/downloadSignature?token=7984b021d4ed4556bb451b50ce492ff2","2025NE001352")</f>
        <v>2025NE001352</v>
      </c>
      <c r="H408" s="6">
        <v>71814</v>
      </c>
      <c r="I408" s="7" t="s">
        <v>470</v>
      </c>
      <c r="J408" s="10" t="s">
        <v>471</v>
      </c>
      <c r="L408" s="13"/>
    </row>
    <row r="409" spans="1:14" x14ac:dyDescent="0.25">
      <c r="A409" s="12" t="s">
        <v>159</v>
      </c>
      <c r="B409" s="2" t="s">
        <v>317</v>
      </c>
      <c r="C409" s="3" t="str">
        <f>HYPERLINK("https://transparencia-area-fim.mpce.mp.br/#/consulta/processo/pastadigital/092025000085351","09.2025.00008535-1")</f>
        <v>09.2025.00008535-1</v>
      </c>
      <c r="D409" s="4">
        <v>45793</v>
      </c>
      <c r="E409" s="16" t="s">
        <v>472</v>
      </c>
      <c r="F409" s="2" t="s">
        <v>221</v>
      </c>
      <c r="G409" s="5" t="str">
        <f>HYPERLINK("https://siafe.sefaz.ce.gov.br/Siafe/downloadSignature?token=d0fbced4358d4918ad123b28d30837ca","2025NE001369")</f>
        <v>2025NE001369</v>
      </c>
      <c r="H409" s="6">
        <v>3840</v>
      </c>
      <c r="I409" s="7" t="s">
        <v>473</v>
      </c>
      <c r="J409" s="10" t="s">
        <v>474</v>
      </c>
      <c r="L409" s="13"/>
    </row>
    <row r="410" spans="1:14" x14ac:dyDescent="0.25">
      <c r="A410" s="12" t="s">
        <v>19</v>
      </c>
      <c r="B410" s="2" t="s">
        <v>187</v>
      </c>
      <c r="C410" s="3" t="str">
        <f>HYPERLINK("https://transparencia-area-fim.mpce.mp.br/#/consulta/processo/pastadigital/092022000264193","09.2022.00026419-3")</f>
        <v>09.2022.00026419-3</v>
      </c>
      <c r="D410" s="4">
        <v>45881</v>
      </c>
      <c r="E410" s="16" t="str">
        <f>HYPERLINK("https://www8.mpce.mp.br/Empenhos/150001/Objeto/28-2022.pdf","EMPENHO REF. ALUGUEL DE IMÓVEL ONDE FUNCIONA SEDE DE PROMOTORIAS DE JUSTIÇA DA COMARCA DE AURORA, CONF. CONTRATO 028/2022, REF. JUL, AGO E SET/2025, POR ESTIMATIVA.")</f>
        <v>EMPENHO REF. ALUGUEL DE IMÓVEL ONDE FUNCIONA SEDE DE PROMOTORIAS DE JUSTIÇA DA COMARCA DE AURORA, CONF. CONTRATO 028/2022, REF. JUL, AGO E SET/2025, POR ESTIMATIVA.</v>
      </c>
      <c r="F410" s="2" t="s">
        <v>31</v>
      </c>
      <c r="G410" s="5" t="str">
        <f>HYPERLINK("https://siafe.sefaz.ce.gov.br/Siafe/downloadSignature?token=cc853a7d5e9d46b39ceb89938ad065a4","2025NE001372")</f>
        <v>2025NE001372</v>
      </c>
      <c r="H410" s="6">
        <v>6249.6</v>
      </c>
      <c r="I410" s="7" t="s">
        <v>618</v>
      </c>
      <c r="J410" s="10" t="s">
        <v>619</v>
      </c>
      <c r="K410" t="str">
        <f>HYPERLINK("http://www8.mpce.mp.br/Empenhos/150001/NE/2024NE000358.pdf","2024NE000358")</f>
        <v>2024NE000358</v>
      </c>
      <c r="L410">
        <v>367.2</v>
      </c>
      <c r="M410" t="s">
        <v>52</v>
      </c>
      <c r="N410">
        <v>29261229000161</v>
      </c>
    </row>
    <row r="411" spans="1:14" x14ac:dyDescent="0.25">
      <c r="A411" s="12" t="s">
        <v>19</v>
      </c>
      <c r="B411" s="2" t="s">
        <v>187</v>
      </c>
      <c r="C411" s="3" t="str">
        <f>HYPERLINK("https://transparencia-area-fim.mpce.mp.br/#/consulta/processo/pastadigital/092022000343818","09.2022.00034381-8")</f>
        <v>09.2022.00034381-8</v>
      </c>
      <c r="D411" s="4">
        <v>45883</v>
      </c>
      <c r="E411" s="16" t="str">
        <f>HYPERLINK("https://www8.mpce.mp.br/Empenhos/150001/Objeto/24-2023.pdf","EMPENHO REF. IPTU DE IMÓVEL ONDE FUNCIONAM PROMOTORIAS DE JUSTIÇA DA COMARCA DE ITAPIPOCA, CONF. CONTRATO 024/2023, REF. 2025 - PARCELA ÚNICA.")</f>
        <v>EMPENHO REF. IPTU DE IMÓVEL ONDE FUNCIONAM PROMOTORIAS DE JUSTIÇA DA COMARCA DE ITAPIPOCA, CONF. CONTRATO 024/2023, REF. 2025 - PARCELA ÚNICA.</v>
      </c>
      <c r="F411" s="2" t="s">
        <v>323</v>
      </c>
      <c r="G411" s="5" t="str">
        <f>HYPERLINK("https://siafe.sefaz.ce.gov.br/Siafe/downloadSignature?token=43c9b4a2870544a2a9d08338f433ab09","2025NE001381")</f>
        <v>2025NE001381</v>
      </c>
      <c r="H411" s="6">
        <v>152.25</v>
      </c>
      <c r="I411" s="7" t="s">
        <v>79</v>
      </c>
      <c r="J411" s="10" t="s">
        <v>133</v>
      </c>
      <c r="K411" t="str">
        <f>HYPERLINK("http://www8.mpce.mp.br/Empenhos/150001/NE/2024NE000358.pdf","2024NE000358")</f>
        <v>2024NE000358</v>
      </c>
      <c r="L411">
        <v>367.2</v>
      </c>
      <c r="M411" t="s">
        <v>52</v>
      </c>
      <c r="N411">
        <v>29261229000161</v>
      </c>
    </row>
    <row r="412" spans="1:14" x14ac:dyDescent="0.25">
      <c r="A412" s="12" t="s">
        <v>19</v>
      </c>
      <c r="B412" s="2" t="s">
        <v>187</v>
      </c>
      <c r="C412" s="3" t="str">
        <f>HYPERLINK("https://transparencia-area-fim.mpce.mp.br/#/consulta/processo/pastadigital/092022000343795","09.2022.00034379-5")</f>
        <v>09.2022.00034379-5</v>
      </c>
      <c r="D412" s="4">
        <v>45883</v>
      </c>
      <c r="E412" s="16" t="str">
        <f>HYPERLINK("https://www8.mpce.mp.br/Empenhos/150001/Objeto/25-2023.pdf","EMPENHO REF. IPTU DE IMÓVEL ONDE FUNCIONAM PROMOTORIAS DE JUSTIÇA DA COMARCA DE CANINDÉ, CONF. CONTRATO 025/2023, REF. 2025 - PARCELA ÚNICA.")</f>
        <v>EMPENHO REF. IPTU DE IMÓVEL ONDE FUNCIONAM PROMOTORIAS DE JUSTIÇA DA COMARCA DE CANINDÉ, CONF. CONTRATO 025/2023, REF. 2025 - PARCELA ÚNICA.</v>
      </c>
      <c r="F412" s="2" t="s">
        <v>323</v>
      </c>
      <c r="G412" s="5" t="str">
        <f>HYPERLINK("https://siafe.sefaz.ce.gov.br/Siafe/downloadSignature?token=6f208b54b0c74a95a19139420e5a727f","2025NE001382")</f>
        <v>2025NE001382</v>
      </c>
      <c r="H412" s="6">
        <v>1140.3499999999999</v>
      </c>
      <c r="I412" s="7" t="s">
        <v>101</v>
      </c>
      <c r="J412" s="10" t="s">
        <v>131</v>
      </c>
      <c r="K412" t="str">
        <f>HYPERLINK("http://www8.mpce.mp.br/Empenhos/150001/NE/2024NE000358.pdf","2024NE000358")</f>
        <v>2024NE000358</v>
      </c>
      <c r="L412">
        <v>367.2</v>
      </c>
      <c r="M412" t="s">
        <v>52</v>
      </c>
      <c r="N412">
        <v>29261229000161</v>
      </c>
    </row>
    <row r="413" spans="1:14" x14ac:dyDescent="0.25">
      <c r="A413" s="12" t="s">
        <v>19</v>
      </c>
      <c r="B413" s="2" t="s">
        <v>187</v>
      </c>
      <c r="C413" s="3" t="str">
        <f>HYPERLINK("https://transparencia-area-fim.mpce.mp.br/#/consulta/processo/pastadigital/092021000244550","09.2021.00024455-0")</f>
        <v>09.2021.00024455-0</v>
      </c>
      <c r="D413" s="4">
        <v>45887</v>
      </c>
      <c r="E413" s="16" t="str">
        <f>HYPERLINK("https://www8.mpce.mp.br/Empenhos/150001/Objeto/10-2022.pdf","EMPENHO REF. ALUGUEL DE IMÓVEL ONDE FUNCIONAM PROMOTORIAS DE JUSTIÇA DA COMARCA DE ICÓ, CONF. CONTRATO 010/2022, REF. REAJUSTE RETROATIVO A JAN, FEV, MAR, ABR, MAI E JUN/2025.")</f>
        <v>EMPENHO REF. ALUGUEL DE IMÓVEL ONDE FUNCIONAM PROMOTORIAS DE JUSTIÇA DA COMARCA DE ICÓ, CONF. CONTRATO 010/2022, REF. REAJUSTE RETROATIVO A JAN, FEV, MAR, ABR, MAI E JUN/2025.</v>
      </c>
      <c r="F413" s="2" t="s">
        <v>130</v>
      </c>
      <c r="G413" s="5" t="str">
        <f>HYPERLINK("https://siafe.sefaz.ce.gov.br/Siafe/downloadSignature?token=092f7ddf551143ab94e01333f9367502","2025NE001389")</f>
        <v>2025NE001389</v>
      </c>
      <c r="H413" s="6">
        <v>3830.28</v>
      </c>
      <c r="I413" s="7" t="s">
        <v>25</v>
      </c>
      <c r="J413" s="10" t="s">
        <v>148</v>
      </c>
      <c r="K413" t="str">
        <f>HYPERLINK("http://www8.mpce.mp.br/Empenhos/150501/NE/2024NE000361.pdf","2024NE000361")</f>
        <v>2024NE000361</v>
      </c>
      <c r="L413" s="13">
        <v>26973</v>
      </c>
      <c r="M413" t="s">
        <v>25</v>
      </c>
      <c r="N413">
        <v>53820857000114</v>
      </c>
    </row>
    <row r="414" spans="1:14" x14ac:dyDescent="0.25">
      <c r="A414" s="12" t="s">
        <v>19</v>
      </c>
      <c r="B414" s="2" t="s">
        <v>187</v>
      </c>
      <c r="C414" s="3" t="str">
        <f>HYPERLINK("https://transparencia-area-fim.mpce.mp.br/#/consulta/processo/pastadigital/092021000063220","09.2021.00006322-0")</f>
        <v>09.2021.00006322-0</v>
      </c>
      <c r="D414" s="4">
        <v>45887</v>
      </c>
      <c r="E414" s="16" t="str">
        <f>HYPERLINK("https://www8.mpce.mp.br/Empenhos/150001/Objeto/33-2021.pdf","EMPENHO REF. ALUGUEL DE IMÓVEL ONDE FUNCIONAM PROMOTORIAS DE JUSTIÇA DA COMARCA DE SOBRAL, CONF. CONTRATO 033/2021, REF. REAJUSTE RETROATIVO DE ABR, MAI E JUN/2025.")</f>
        <v>EMPENHO REF. ALUGUEL DE IMÓVEL ONDE FUNCIONAM PROMOTORIAS DE JUSTIÇA DA COMARCA DE SOBRAL, CONF. CONTRATO 033/2021, REF. REAJUSTE RETROATIVO DE ABR, MAI E JUN/2025.</v>
      </c>
      <c r="F414" s="2" t="s">
        <v>130</v>
      </c>
      <c r="G414" s="5" t="str">
        <f>HYPERLINK("https://siafe.sefaz.ce.gov.br/Siafe/downloadSignature?token=a87cef1c41ad465c883529db1ff1ab29","2025NE001390")</f>
        <v>2025NE001390</v>
      </c>
      <c r="H414" s="6">
        <v>6975.25</v>
      </c>
      <c r="I414" s="7" t="s">
        <v>21</v>
      </c>
      <c r="J414" s="10" t="s">
        <v>140</v>
      </c>
      <c r="K414" t="str">
        <f>HYPERLINK("http://www8.mpce.mp.br/Empenhos/150501/NE/2024NE000362.pdf","2024NE000362")</f>
        <v>2024NE000362</v>
      </c>
      <c r="L414">
        <v>152.32</v>
      </c>
      <c r="M414" t="s">
        <v>29</v>
      </c>
      <c r="N414">
        <v>5569807000163</v>
      </c>
    </row>
    <row r="415" spans="1:14" x14ac:dyDescent="0.25">
      <c r="A415" s="12" t="s">
        <v>159</v>
      </c>
      <c r="B415" s="2" t="s">
        <v>258</v>
      </c>
      <c r="C415" s="3" t="str">
        <f>HYPERLINK("https://transparencia-area-fim.mpce.mp.br/#/consulta/processo/pastadigital/092025000086517","09.2025.00008651-7")</f>
        <v>09.2025.00008651-7</v>
      </c>
      <c r="D415" s="4">
        <v>45797</v>
      </c>
      <c r="E415" s="16" t="s">
        <v>475</v>
      </c>
      <c r="F415" s="2" t="s">
        <v>255</v>
      </c>
      <c r="G415" s="5" t="str">
        <f>HYPERLINK("https://siafe.sefaz.ce.gov.br/Siafe/downloadSignature?token=89f56ae374984501840f9d9dcab235a4","2025NE001397")</f>
        <v>2025NE001397</v>
      </c>
      <c r="H415" s="6">
        <v>150</v>
      </c>
      <c r="I415" s="7" t="s">
        <v>67</v>
      </c>
      <c r="J415" s="10" t="s">
        <v>267</v>
      </c>
      <c r="K415" t="str">
        <f>HYPERLINK("http://www8.mpce.mp.br/Empenhos/150001/NE/2024NE000365.pdf","2024NE000365")</f>
        <v>2024NE000365</v>
      </c>
      <c r="L415" s="13">
        <v>6236</v>
      </c>
      <c r="M415" t="s">
        <v>104</v>
      </c>
      <c r="N415">
        <v>60792942000181</v>
      </c>
    </row>
    <row r="416" spans="1:14" x14ac:dyDescent="0.25">
      <c r="A416" s="12" t="s">
        <v>159</v>
      </c>
      <c r="B416" s="2" t="s">
        <v>476</v>
      </c>
      <c r="C416" s="3" t="str">
        <f>HYPERLINK("https://transparencia-area-fim.mpce.mp.br/#/consulta/processo/pastadigital/092025000134137","09.2025.00013413-7")</f>
        <v>09.2025.00013413-7</v>
      </c>
      <c r="D416" s="4">
        <v>45798</v>
      </c>
      <c r="E416" s="16" t="s">
        <v>477</v>
      </c>
      <c r="F416" s="2" t="s">
        <v>221</v>
      </c>
      <c r="G416" s="5" t="str">
        <f>HYPERLINK("https://siafe.sefaz.ce.gov.br/Siafe/downloadSignature?token=56747e34731c4bce9e546f292d5a7944","2025NE001410")</f>
        <v>2025NE001410</v>
      </c>
      <c r="H416" s="6">
        <v>3200</v>
      </c>
      <c r="I416" s="7" t="s">
        <v>478</v>
      </c>
      <c r="J416" s="10" t="s">
        <v>479</v>
      </c>
      <c r="K416" t="str">
        <f>HYPERLINK("http://www8.mpce.mp.br/Empenhos/150001/NE/2024NE000365.pdf","2024NE000365")</f>
        <v>2024NE000365</v>
      </c>
      <c r="L416" s="13">
        <v>6236</v>
      </c>
      <c r="M416" t="s">
        <v>104</v>
      </c>
      <c r="N416">
        <v>60792942000181</v>
      </c>
    </row>
    <row r="417" spans="1:14" x14ac:dyDescent="0.25">
      <c r="A417" s="12" t="s">
        <v>19</v>
      </c>
      <c r="B417" s="2" t="s">
        <v>642</v>
      </c>
      <c r="C417" s="3" t="str">
        <f>HYPERLINK("https://transparencia-area-fim.mpce.mp.br/#/consulta/processo/pastadigital/092024000367240","09.2024.00036724-0")</f>
        <v>09.2024.00036724-0</v>
      </c>
      <c r="D417" s="4">
        <v>45911</v>
      </c>
      <c r="E417" s="16" t="str">
        <f>HYPERLINK("https://www8.mpce.mp.br/Empenhos/150001/Objeto/01-2024.pdf","EMPENHO REF. REFORÇO DA NED 2025NE000232, CONF. SOLICITAÇÃO DO GESTOR (FLS. 187/188).")</f>
        <v>EMPENHO REF. REFORÇO DA NED 2025NE000232, CONF. SOLICITAÇÃO DO GESTOR (FLS. 187/188).</v>
      </c>
      <c r="F417" s="2" t="s">
        <v>231</v>
      </c>
      <c r="G417" s="5" t="str">
        <f>HYPERLINK("https://siafe.sefaz.ce.gov.br/Siafe/downloadSignature?token=bcc8512f33a3405ba983087ffd7360f6","2025NE001421")</f>
        <v>2025NE001421</v>
      </c>
      <c r="H417" s="6">
        <v>199995.51999999999</v>
      </c>
      <c r="I417" s="7" t="s">
        <v>51</v>
      </c>
      <c r="J417" s="10" t="s">
        <v>212</v>
      </c>
      <c r="K417" t="str">
        <f>HYPERLINK("http://www8.mpce.mp.br/Empenhos/150001/NE/2024NE000365.pdf","2024NE000365")</f>
        <v>2024NE000365</v>
      </c>
      <c r="L417" s="13">
        <v>6236</v>
      </c>
      <c r="M417" t="s">
        <v>104</v>
      </c>
      <c r="N417">
        <v>60792942000181</v>
      </c>
    </row>
    <row r="418" spans="1:14" x14ac:dyDescent="0.25">
      <c r="A418" s="12" t="s">
        <v>19</v>
      </c>
      <c r="B418" s="2" t="s">
        <v>187</v>
      </c>
      <c r="C418" s="3" t="str">
        <f>HYPERLINK("https://transparencia-area-fim.mpce.mp.br/#/consulta/processo/pastadigital/092021000244550","09.2021.00024455-0")</f>
        <v>09.2021.00024455-0</v>
      </c>
      <c r="D418" s="4">
        <v>45902</v>
      </c>
      <c r="E418" s="16" t="str">
        <f>HYPERLINK("https://www8.mpce.mp.br/Empenhos/150001/Objeto/10-2022.pdf","EMPENHO REF. ALUGUEL DE IMÓVEL ONDE FUNCIONAM PROMOTORIAS DE JUSTIÇA DA COMARCA DE ICÓ, CONF. CONTRATO 010/2022-2º TERMO DE APOSTILAMENTO E TERMO DE RECONHECIMENTO DE DÍVIDA 002"&amp;"8/2025/SEFIN, REF. REAJUSTE RETROATIVO A NOV E DEZ/2024. DEA: 2025NP000223.")</f>
        <v>EMPENHO REF. ALUGUEL DE IMÓVEL ONDE FUNCIONAM PROMOTORIAS DE JUSTIÇA DA COMARCA DE ICÓ, CONF. CONTRATO 010/2022-2º TERMO DE APOSTILAMENTO E TERMO DE RECONHECIMENTO DE DÍVIDA 0028/2025/SEFIN, REF. REAJUSTE RETROATIVO A NOV E DEZ/2024. DEA: 2025NP000223.</v>
      </c>
      <c r="F418" s="2" t="s">
        <v>519</v>
      </c>
      <c r="G418" s="5" t="str">
        <f>HYPERLINK("https://siafe.sefaz.ce.gov.br/Siafe/downloadSignature?token=4de6d97f181e418b933de73263d677ee","2025NE001424")</f>
        <v>2025NE001424</v>
      </c>
      <c r="H418" s="6">
        <v>1127.8</v>
      </c>
      <c r="I418" s="7" t="s">
        <v>25</v>
      </c>
      <c r="J418" s="10" t="s">
        <v>148</v>
      </c>
      <c r="K418" t="str">
        <f>HYPERLINK("http://www8.mpce.mp.br/Empenhos/150001/NE/2024NE000365.pdf","2024NE000365")</f>
        <v>2024NE000365</v>
      </c>
      <c r="L418" s="13">
        <v>6236</v>
      </c>
      <c r="M418" t="s">
        <v>104</v>
      </c>
      <c r="N418">
        <v>60792942000181</v>
      </c>
    </row>
    <row r="419" spans="1:14" x14ac:dyDescent="0.25">
      <c r="A419" s="12" t="s">
        <v>159</v>
      </c>
      <c r="B419" s="2" t="s">
        <v>191</v>
      </c>
      <c r="C419" s="3" t="str">
        <f>HYPERLINK("https://transparencia-area-fim.mpce.mp.br/#/consulta/processo/pastadigital/092025000026529","09.2025.00002652-9")</f>
        <v>09.2025.00002652-9</v>
      </c>
      <c r="D419" s="4">
        <v>45903</v>
      </c>
      <c r="E419" s="16" t="str">
        <f>HYPERLINK("https://www8.mpce.mp.br/Empenhos/150001/Objeto/33-2025.pdf","EMPENHO REF. ALUGUEL DE IMÓVEL ONDE FUNCIONAM PROMOTORIAS DE JUSTIÇA DA COMARCA DE JIJOCA DE JERICOACOARA-CE, CONF. CONTRATO 033/2025, REF. JUL, AGO E SET/2025, POR ESTIMATIVA.")</f>
        <v>EMPENHO REF. ALUGUEL DE IMÓVEL ONDE FUNCIONAM PROMOTORIAS DE JUSTIÇA DA COMARCA DE JIJOCA DE JERICOACOARA-CE, CONF. CONTRATO 033/2025, REF. JUL, AGO E SET/2025, POR ESTIMATIVA.</v>
      </c>
      <c r="F419" s="2" t="s">
        <v>31</v>
      </c>
      <c r="G419" s="5" t="str">
        <f>HYPERLINK("https://siafe.sefaz.ce.gov.br/Siafe/downloadSignature?token=2f29c605ae254c7993cf890fa5a5e836","2025NE001425")</f>
        <v>2025NE001425</v>
      </c>
      <c r="H419" s="6">
        <v>15000</v>
      </c>
      <c r="I419" s="7" t="s">
        <v>643</v>
      </c>
      <c r="J419" s="10" t="s">
        <v>644</v>
      </c>
      <c r="K419" t="str">
        <f>HYPERLINK("http://www8.mpce.mp.br/Empenhos/150001/NE/2024NE000366.pdf","2024NE000366")</f>
        <v>2024NE000366</v>
      </c>
      <c r="L419">
        <v>139</v>
      </c>
      <c r="M419" t="s">
        <v>85</v>
      </c>
      <c r="N419">
        <v>12967719000185</v>
      </c>
    </row>
    <row r="420" spans="1:14" x14ac:dyDescent="0.25">
      <c r="A420" s="12" t="s">
        <v>19</v>
      </c>
      <c r="B420" s="2" t="s">
        <v>645</v>
      </c>
      <c r="C420" s="3" t="str">
        <f>HYPERLINK("https://transparencia-area-fim.mpce.mp.br/#/consulta/processo/pastadigital/092025000057466","09.2025.00005746-6")</f>
        <v>09.2025.00005746-6</v>
      </c>
      <c r="D420" s="4">
        <v>45910</v>
      </c>
      <c r="E420" s="16" t="str">
        <f>HYPERLINK("https://www8.mpce.mp.br/Empenhos/150001/Objeto/22-2025.pdf","EMPENHO REF. REALIZAÇÃO DE PROCESSO SELETIVO DE ESTAGIÁRIOS DE GRADUAÇÃO E RESIDENTES, CONF. CONTRATO 022/2025, REF. MAI A NOV/2025, POR ESTIMATIVA.")</f>
        <v>EMPENHO REF. REALIZAÇÃO DE PROCESSO SELETIVO DE ESTAGIÁRIOS DE GRADUAÇÃO E RESIDENTES, CONF. CONTRATO 022/2025, REF. MAI A NOV/2025, POR ESTIMATIVA.</v>
      </c>
      <c r="F420" s="2" t="s">
        <v>481</v>
      </c>
      <c r="G420" s="5" t="str">
        <f>HYPERLINK("https://siafe.sefaz.ce.gov.br/Siafe/downloadSignature?token=57a7556dfa36438b8a69dfc8c07e2521","2025NE001427")</f>
        <v>2025NE001427</v>
      </c>
      <c r="H420" s="6">
        <v>282750</v>
      </c>
      <c r="I420" s="7" t="s">
        <v>111</v>
      </c>
      <c r="J420" s="10" t="s">
        <v>646</v>
      </c>
      <c r="K420" t="str">
        <f>HYPERLINK("http://www8.mpce.mp.br/Empenhos/150001/NE/2024NE000366.pdf","2024NE000366")</f>
        <v>2024NE000366</v>
      </c>
      <c r="L420">
        <v>139</v>
      </c>
      <c r="M420" t="s">
        <v>85</v>
      </c>
      <c r="N420">
        <v>12967719000185</v>
      </c>
    </row>
    <row r="421" spans="1:14" x14ac:dyDescent="0.25">
      <c r="A421" s="12" t="s">
        <v>19</v>
      </c>
      <c r="B421" s="2" t="s">
        <v>187</v>
      </c>
      <c r="C421" s="3" t="str">
        <f>HYPERLINK("https://transparencia-area-fim.mpce.mp.br/#/consulta/processo/pastadigital/092023000338541","09.2023.00033854-1")</f>
        <v>09.2023.00033854-1</v>
      </c>
      <c r="D421" s="4">
        <v>45908</v>
      </c>
      <c r="E421" s="17" t="str">
        <f>HYPERLINK("https://www8.mpce.mp.br/Empenhos/150001/Objeto/36-2024.pdf","EMPENHO REF. ALUGUEL DE IMÓVEL ONDE FUNCIONAM PROMOTORIAS DE JUSTIÇA DA COMARCA DE MORADA NOVA-CE, CONF. CONTRATO 036/2024, REF. RETROATIVO MAI E JUN/2025, POR ESTIMATIVA.")</f>
        <v>EMPENHO REF. ALUGUEL DE IMÓVEL ONDE FUNCIONAM PROMOTORIAS DE JUSTIÇA DA COMARCA DE MORADA NOVA-CE, CONF. CONTRATO 036/2024, REF. RETROATIVO MAI E JUN/2025, POR ESTIMATIVA.</v>
      </c>
      <c r="F421" s="2" t="s">
        <v>130</v>
      </c>
      <c r="G421" s="5" t="str">
        <f>HYPERLINK("https://siafe.sefaz.ce.gov.br/Siafe/downloadSignature?token=6d57ff6a3b00472dae6abea0c02f287c","2025NE001428")</f>
        <v>2025NE001428</v>
      </c>
      <c r="H421" s="6">
        <v>1124.08</v>
      </c>
      <c r="I421" s="7" t="s">
        <v>27</v>
      </c>
      <c r="J421" s="10" t="s">
        <v>154</v>
      </c>
      <c r="K421" t="str">
        <f>HYPERLINK("http://www8.mpce.mp.br/Empenhos/150001/NE/2024NE000366.pdf","2024NE000366")</f>
        <v>2024NE000366</v>
      </c>
      <c r="L421">
        <v>139</v>
      </c>
      <c r="M421" t="s">
        <v>85</v>
      </c>
      <c r="N421">
        <v>12967719000185</v>
      </c>
    </row>
    <row r="422" spans="1:14" x14ac:dyDescent="0.25">
      <c r="A422" s="12" t="s">
        <v>19</v>
      </c>
      <c r="B422" s="2" t="s">
        <v>187</v>
      </c>
      <c r="C422" s="3" t="str">
        <f>HYPERLINK("https://transparencia-area-fim.mpce.mp.br/#/consulta/processo/pastadigital/092021000079244","09.2021.00007924-4")</f>
        <v>09.2021.00007924-4</v>
      </c>
      <c r="D422" s="4">
        <v>45908</v>
      </c>
      <c r="E422" s="16" t="str">
        <f>HYPERLINK("https://www8.mpce.mp.br/Empenhos/150001/Objeto/27-2021.pdf","EMPENHO REF. ALUGUEL IMÓVEL ONDE FUNCIONAM PROMOTORIAS DE JUSTIÇA DA COMARCA DE EUSÉBIO, CONF. CONTRATO 027/2021, REF. RETROATIVO JAN A JUN/2025.")</f>
        <v>EMPENHO REF. ALUGUEL IMÓVEL ONDE FUNCIONAM PROMOTORIAS DE JUSTIÇA DA COMARCA DE EUSÉBIO, CONF. CONTRATO 027/2021, REF. RETROATIVO JAN A JUN/2025.</v>
      </c>
      <c r="F422" s="2" t="s">
        <v>130</v>
      </c>
      <c r="G422" s="5" t="str">
        <f>HYPERLINK("https://siafe.sefaz.ce.gov.br/Siafe/downloadSignature?token=4db4b5c8a2b14ed286bf0b6ec8f7d506","2025NE001429")</f>
        <v>2025NE001429</v>
      </c>
      <c r="H422" s="6">
        <v>811.8</v>
      </c>
      <c r="I422" s="7" t="s">
        <v>43</v>
      </c>
      <c r="J422" s="10" t="s">
        <v>186</v>
      </c>
      <c r="K422" t="str">
        <f>HYPERLINK("http://www8.mpce.mp.br/Empenhos/150001/NE/2024NE000367.pdf","2024NE000367")</f>
        <v>2024NE000367</v>
      </c>
      <c r="L422" s="13">
        <v>1529</v>
      </c>
      <c r="M422" t="s">
        <v>85</v>
      </c>
      <c r="N422">
        <v>12967719000185</v>
      </c>
    </row>
    <row r="423" spans="1:14" x14ac:dyDescent="0.25">
      <c r="A423" s="12" t="s">
        <v>19</v>
      </c>
      <c r="B423" s="2" t="s">
        <v>187</v>
      </c>
      <c r="C423" s="3" t="str">
        <f>HYPERLINK("https://transparencia-area-fim.mpce.mp.br/#/consulta/processo/pastadigital/092021000244550","09.2021.00024455-0")</f>
        <v>09.2021.00024455-0</v>
      </c>
      <c r="D423" s="4">
        <v>45908</v>
      </c>
      <c r="E423" s="16" t="str">
        <f>HYPERLINK("https://www8.mpce.mp.br/Empenhos/150001/Objeto/10-2022.pdf","EMPENHO REF. IPTU DE IMÓVEL ONDE FUNCIONAM PROMOTORIAS DE JUSTIÇA DA COMARCA DE ICÓ, CONF. CONTRATO 010/2022, REF. 2025 - PARC. ÚNICA.")</f>
        <v>EMPENHO REF. IPTU DE IMÓVEL ONDE FUNCIONAM PROMOTORIAS DE JUSTIÇA DA COMARCA DE ICÓ, CONF. CONTRATO 010/2022, REF. 2025 - PARC. ÚNICA.</v>
      </c>
      <c r="F423" s="2" t="s">
        <v>323</v>
      </c>
      <c r="G423" s="5" t="str">
        <f>HYPERLINK("https://siafe.sefaz.ce.gov.br/Siafe/downloadSignature?token=08d4547789ff41eaba470649759b0554","2025NE001430")</f>
        <v>2025NE001430</v>
      </c>
      <c r="H423" s="6">
        <v>648.91</v>
      </c>
      <c r="I423" s="7" t="s">
        <v>25</v>
      </c>
      <c r="J423" s="10" t="s">
        <v>148</v>
      </c>
      <c r="K423" t="str">
        <f>HYPERLINK("http://www8.mpce.mp.br/Empenhos/150001/NE/2024NE000367.pdf","2024NE000367")</f>
        <v>2024NE000367</v>
      </c>
      <c r="L423" s="13">
        <v>1529</v>
      </c>
      <c r="M423" t="s">
        <v>85</v>
      </c>
      <c r="N423">
        <v>12967719000185</v>
      </c>
    </row>
    <row r="424" spans="1:14" x14ac:dyDescent="0.25">
      <c r="A424" s="12" t="s">
        <v>19</v>
      </c>
      <c r="B424" s="2" t="s">
        <v>187</v>
      </c>
      <c r="C424" s="3" t="str">
        <f>HYPERLINK("http://www8.mpce.mp.br/Dispensa/6795020160.pdf","6795020160")</f>
        <v>6795020160</v>
      </c>
      <c r="D424" s="4">
        <v>45908</v>
      </c>
      <c r="E424" s="16" t="str">
        <f>HYPERLINK("https://www8.mpce.mp.br/Empenhos/150001/Objeto/08-2017.pdf","EMPENHO REF. REEMBOLSO DE IPTU DE IMÓVEL ONDE FUNCIONAM PROMOTORIAS DE JUSTIÇA DA COMARCA DE JARDIM, CONF. CONTRATO 008/2017, REF. 2025 - PARC. ÚNICA.")</f>
        <v>EMPENHO REF. REEMBOLSO DE IPTU DE IMÓVEL ONDE FUNCIONAM PROMOTORIAS DE JUSTIÇA DA COMARCA DE JARDIM, CONF. CONTRATO 008/2017, REF. 2025 - PARC. ÚNICA.</v>
      </c>
      <c r="F424" s="2" t="s">
        <v>361</v>
      </c>
      <c r="G424" s="5" t="str">
        <f>HYPERLINK("https://siafe.sefaz.ce.gov.br/Siafe/downloadSignature?token=5c38753e3c284d83ae96591bc0ca124d","2025NE001431")</f>
        <v>2025NE001431</v>
      </c>
      <c r="H424" s="6">
        <v>87.54</v>
      </c>
      <c r="I424" s="7" t="s">
        <v>99</v>
      </c>
      <c r="J424" s="10" t="s">
        <v>128</v>
      </c>
      <c r="K424" t="str">
        <f>HYPERLINK("http://www8.mpce.mp.br/Empenhos/150001/NE/2024NE000367.pdf","2024NE000367")</f>
        <v>2024NE000367</v>
      </c>
      <c r="L424" s="13">
        <v>1529</v>
      </c>
      <c r="M424" t="s">
        <v>85</v>
      </c>
      <c r="N424">
        <v>12967719000185</v>
      </c>
    </row>
    <row r="425" spans="1:14" x14ac:dyDescent="0.25">
      <c r="A425" s="12" t="s">
        <v>19</v>
      </c>
      <c r="B425" s="2" t="s">
        <v>187</v>
      </c>
      <c r="C425" s="3" t="str">
        <f>HYPERLINK("https://transparencia-area-fim.mpce.mp.br/#/consulta/processo/pastadigital/092021000065217","09.2021.00006521-7")</f>
        <v>09.2021.00006521-7</v>
      </c>
      <c r="D425" s="4">
        <v>45908</v>
      </c>
      <c r="E425" s="16" t="str">
        <f>HYPERLINK("https://www8.mpce.mp.br/Empenhos/150001/Objeto/38-2021.pdf","EMPENHO REF. ALUGUEL DE IMÓVEL ONDE FUNCIONAM PROMOTORIAS DE JUSTIÇA DA COMARCA DE TAUÁ, CONF. CONTRATO 038/2021, REF. RETROATIVO ABR, MAI E JUN/2025.")</f>
        <v>EMPENHO REF. ALUGUEL DE IMÓVEL ONDE FUNCIONAM PROMOTORIAS DE JUSTIÇA DA COMARCA DE TAUÁ, CONF. CONTRATO 038/2021, REF. RETROATIVO ABR, MAI E JUN/2025.</v>
      </c>
      <c r="F425" s="2" t="s">
        <v>130</v>
      </c>
      <c r="G425" s="5" t="str">
        <f>HYPERLINK("https://siafe.sefaz.ce.gov.br/Siafe/downloadSignature?token=5b150d164f2346638a527455f48516a3","2025NE001432")</f>
        <v>2025NE001432</v>
      </c>
      <c r="H425" s="6">
        <v>3561.36</v>
      </c>
      <c r="I425" s="7" t="s">
        <v>26</v>
      </c>
      <c r="J425" s="10" t="s">
        <v>151</v>
      </c>
      <c r="K425" t="str">
        <f>HYPERLINK("http://www8.mpce.mp.br/Empenhos/150501/NE/2024NE000368.pdf","2024NE000368")</f>
        <v>2024NE000368</v>
      </c>
      <c r="L425">
        <v>100.29</v>
      </c>
      <c r="M425" t="s">
        <v>41</v>
      </c>
      <c r="N425">
        <v>43713017387</v>
      </c>
    </row>
    <row r="426" spans="1:14" x14ac:dyDescent="0.25">
      <c r="A426" s="12" t="s">
        <v>159</v>
      </c>
      <c r="B426" s="2" t="s">
        <v>647</v>
      </c>
      <c r="C426" s="3" t="str">
        <f>HYPERLINK("https://transparencia-area-fim.mpce.mp.br/#/consulta/processo/pastadigital/092025000232225","09.2025.00023222-5")</f>
        <v>09.2025.00023222-5</v>
      </c>
      <c r="D426" s="4">
        <v>45915</v>
      </c>
      <c r="E426" s="16" t="s">
        <v>648</v>
      </c>
      <c r="F426" s="2" t="s">
        <v>649</v>
      </c>
      <c r="G426" s="5" t="str">
        <f>HYPERLINK("https://siafe.sefaz.ce.gov.br/Siafe/downloadSignature?token=212a7d4c9e2f46fe923ba964292db5aa","2025NE001440")</f>
        <v>2025NE001440</v>
      </c>
      <c r="H426" s="6">
        <v>86673.24</v>
      </c>
      <c r="I426" s="7" t="s">
        <v>414</v>
      </c>
      <c r="J426" s="10" t="s">
        <v>415</v>
      </c>
      <c r="K426" t="str">
        <f>HYPERLINK("http://www8.mpce.mp.br/Empenhos/150501/NE/2024NE000389.pdf","2024NE000389")</f>
        <v>2024NE000389</v>
      </c>
      <c r="L426" s="13">
        <v>251545.76</v>
      </c>
      <c r="M426" t="s">
        <v>51</v>
      </c>
      <c r="N426">
        <v>3773788000167</v>
      </c>
    </row>
    <row r="427" spans="1:14" x14ac:dyDescent="0.25">
      <c r="A427" s="12" t="s">
        <v>19</v>
      </c>
      <c r="B427" s="2" t="s">
        <v>187</v>
      </c>
      <c r="C427" s="3" t="str">
        <f>HYPERLINK("https://transparencia-area-fim.mpce.mp.br/#/consulta/processo/pastadigital/092021000065217","09.2021.00006521-7")</f>
        <v>09.2021.00006521-7</v>
      </c>
      <c r="D427" s="4">
        <v>45910</v>
      </c>
      <c r="E427" s="16" t="str">
        <f>HYPERLINK("https://www8.mpce.mp.br/Empenhos/150001/Objeto/38-2021.pdf","EMPENHO REF. IPTU DE IMÓVEL ONDE FUNCIONAM PROMOTORIAS DE JUSTIÇA DA COMARCA DE TAUÁ, CONF. CONTRATO 038/2021, REF. 2025 - PARC. ÚNICA.")</f>
        <v>EMPENHO REF. IPTU DE IMÓVEL ONDE FUNCIONAM PROMOTORIAS DE JUSTIÇA DA COMARCA DE TAUÁ, CONF. CONTRATO 038/2021, REF. 2025 - PARC. ÚNICA.</v>
      </c>
      <c r="F427" s="2" t="s">
        <v>323</v>
      </c>
      <c r="G427" s="5" t="str">
        <f>HYPERLINK("https://siafe.sefaz.ce.gov.br/Siafe/downloadSignature?token=4a40557e567247d092fad551bc8d0f28","2025NE001442")</f>
        <v>2025NE001442</v>
      </c>
      <c r="H427" s="6">
        <v>2285.98</v>
      </c>
      <c r="I427" s="7" t="s">
        <v>26</v>
      </c>
      <c r="J427" s="10" t="s">
        <v>151</v>
      </c>
      <c r="K427" t="str">
        <f>HYPERLINK("http://www8.mpce.mp.br/Empenhos/150501/NE/2024NE000392.pdf","2024NE000392")</f>
        <v>2024NE000392</v>
      </c>
      <c r="L427" s="13">
        <v>3155.01</v>
      </c>
      <c r="M427" t="s">
        <v>93</v>
      </c>
      <c r="N427">
        <v>8744388000147</v>
      </c>
    </row>
    <row r="428" spans="1:14" x14ac:dyDescent="0.25">
      <c r="A428" s="12" t="s">
        <v>19</v>
      </c>
      <c r="B428" s="2" t="s">
        <v>187</v>
      </c>
      <c r="C428" s="3" t="str">
        <f>HYPERLINK("https://transparencia-area-fim.mpce.mp.br/#/consulta/processo/pastadigital/092022000343840","09.2022.00034384-0")</f>
        <v>09.2022.00034384-0</v>
      </c>
      <c r="D428" s="4">
        <v>45912</v>
      </c>
      <c r="E428" s="16" t="str">
        <f>HYPERLINK("https://www8.mpce.mp.br/Empenhos/150001/Objeto/11-2023.pdf","EMPENHO REF. IPTU DE IMÓVEL ONDE FUNCIONAM PROMOTORIAS DE JUSTIÇA DA COMARCA DE SANTA QUITÉRIA, CONF. CONTRATO 011/2023, REF. 2025 - PARC. ÚNICA.")</f>
        <v>EMPENHO REF. IPTU DE IMÓVEL ONDE FUNCIONAM PROMOTORIAS DE JUSTIÇA DA COMARCA DE SANTA QUITÉRIA, CONF. CONTRATO 011/2023, REF. 2025 - PARC. ÚNICA.</v>
      </c>
      <c r="F428" s="2" t="s">
        <v>323</v>
      </c>
      <c r="G428" s="5" t="str">
        <f>HYPERLINK("https://siafe.sefaz.ce.gov.br/Siafe/downloadSignature?token=7da4d6749dcd4418bd81b7c5ac8059c7","2025NE001450")</f>
        <v>2025NE001450</v>
      </c>
      <c r="H428" s="6">
        <v>329.49</v>
      </c>
      <c r="I428" s="7" t="s">
        <v>55</v>
      </c>
      <c r="J428" s="10" t="s">
        <v>232</v>
      </c>
      <c r="K428" t="str">
        <f>HYPERLINK("http://www8.mpce.mp.br/Empenhos/150501/NE/2024NE000393.pdf","2024NE000393")</f>
        <v>2024NE000393</v>
      </c>
      <c r="L428" s="13">
        <v>71579.399999999994</v>
      </c>
      <c r="M428" t="s">
        <v>90</v>
      </c>
      <c r="N428">
        <v>41548652000142</v>
      </c>
    </row>
    <row r="429" spans="1:14" x14ac:dyDescent="0.25">
      <c r="A429" s="12" t="s">
        <v>19</v>
      </c>
      <c r="B429" s="2" t="s">
        <v>187</v>
      </c>
      <c r="C429" s="3" t="str">
        <f>HYPERLINK("https://transparencia-area-fim.mpce.mp.br/#/consulta/processo/pastadigital/092021000079244","09.2021.00007924-4")</f>
        <v>09.2021.00007924-4</v>
      </c>
      <c r="D429" s="4">
        <v>45915</v>
      </c>
      <c r="E429" s="16" t="str">
        <f>HYPERLINK("https://www8.mpce.mp.br/Empenhos/150001/Objeto/27-2021.pdf","EMPENHO REF. ALUGUEL IMÓVEL ONDE FUNCIONAM PROMOTORIAS DE JUSTIÇA DA COMARCA DE EUSÉBIO, CONF. CONTRATO 027/2021 E TERMO DE RECONHECIMENTO DE DÍVIDA 0029/2025, REF. REAJUSTE RET"&amp;"ROATIVO DE JUL A DEZ/2024. DEA: 2025NP000229.")</f>
        <v>EMPENHO REF. ALUGUEL IMÓVEL ONDE FUNCIONAM PROMOTORIAS DE JUSTIÇA DA COMARCA DE EUSÉBIO, CONF. CONTRATO 027/2021 E TERMO DE RECONHECIMENTO DE DÍVIDA 0029/2025, REF. REAJUSTE RETROATIVO DE JUL A DEZ/2024. DEA: 2025NP000229.</v>
      </c>
      <c r="F429" s="2" t="s">
        <v>519</v>
      </c>
      <c r="G429" s="5" t="str">
        <f>HYPERLINK("https://siafe.sefaz.ce.gov.br/Siafe/downloadSignature?token=2d04fca43d524f4ebc6146f8a54a3c2d","2025NE001451")</f>
        <v>2025NE001451</v>
      </c>
      <c r="H429" s="6">
        <v>730.62</v>
      </c>
      <c r="I429" s="7" t="s">
        <v>43</v>
      </c>
      <c r="J429" s="10" t="s">
        <v>186</v>
      </c>
      <c r="K429" t="str">
        <f>HYPERLINK("http://www8.mpce.mp.br/Empenhos/150501/NE/2024NE000394.pdf","2024NE000394")</f>
        <v>2024NE000394</v>
      </c>
      <c r="L429" s="13">
        <v>11200</v>
      </c>
      <c r="M429" t="s">
        <v>28</v>
      </c>
      <c r="N429">
        <v>12255352000177</v>
      </c>
    </row>
    <row r="430" spans="1:14" x14ac:dyDescent="0.25">
      <c r="A430" s="12" t="s">
        <v>159</v>
      </c>
      <c r="B430" s="2" t="s">
        <v>317</v>
      </c>
      <c r="C430" s="3" t="str">
        <f>HYPERLINK("https://transparencia-area-fim.mpce.mp.br/#/consulta/processo/pastadigital/092025000241079","09.2025.00024107-9")</f>
        <v>09.2025.00024107-9</v>
      </c>
      <c r="D430" s="4">
        <v>45918</v>
      </c>
      <c r="E430" s="16" t="s">
        <v>650</v>
      </c>
      <c r="F430" s="2" t="s">
        <v>221</v>
      </c>
      <c r="G430" s="5" t="str">
        <f>HYPERLINK("https://siafe.sefaz.ce.gov.br/Siafe/downloadSignature?token=59f323f0d2a4407da703449b5b942fc7","2025NE001472")</f>
        <v>2025NE001472</v>
      </c>
      <c r="H430" s="6">
        <v>5790</v>
      </c>
      <c r="I430" s="7" t="s">
        <v>651</v>
      </c>
      <c r="J430" s="10" t="s">
        <v>652</v>
      </c>
      <c r="K430" t="str">
        <f>HYPERLINK("http://www8.mpce.mp.br/Empenhos/150501/NE/2024NE000397.pdf","2024NE000397")</f>
        <v>2024NE000397</v>
      </c>
      <c r="L430" s="13">
        <v>11092.2</v>
      </c>
      <c r="M430" t="s">
        <v>43</v>
      </c>
      <c r="N430">
        <v>22588967000179</v>
      </c>
    </row>
    <row r="431" spans="1:14" x14ac:dyDescent="0.25">
      <c r="A431" s="12" t="s">
        <v>159</v>
      </c>
      <c r="B431" s="2" t="s">
        <v>466</v>
      </c>
      <c r="C431" s="3" t="str">
        <f>HYPERLINK("https://transparencia-area-fim.mpce.mp.br/#/consulta/processo/pastadigital/092025000252087","09.2025.00025208-7")</f>
        <v>09.2025.00025208-7</v>
      </c>
      <c r="D431" s="4">
        <v>45918</v>
      </c>
      <c r="E431" s="16" t="s">
        <v>653</v>
      </c>
      <c r="F431" s="2" t="s">
        <v>221</v>
      </c>
      <c r="G431" s="5" t="str">
        <f>HYPERLINK("https://siafe.sefaz.ce.gov.br/Siafe/downloadSignature?token=1dc6083a09fe4d89964b4958cb042cb3","2025NE001477")</f>
        <v>2025NE001477</v>
      </c>
      <c r="H431" s="6">
        <v>2170</v>
      </c>
      <c r="I431" s="7" t="s">
        <v>654</v>
      </c>
      <c r="J431" s="10" t="s">
        <v>655</v>
      </c>
      <c r="K431" t="str">
        <f>HYPERLINK("http://www8.mpce.mp.br/Empenhos/150501/NE/2024NE000398.pdf","2024NE000398")</f>
        <v>2024NE000398</v>
      </c>
      <c r="L431" s="13">
        <v>2975.76</v>
      </c>
      <c r="M431" t="s">
        <v>43</v>
      </c>
      <c r="N431">
        <v>22588967000179</v>
      </c>
    </row>
    <row r="432" spans="1:14" x14ac:dyDescent="0.25">
      <c r="A432" s="12" t="s">
        <v>19</v>
      </c>
      <c r="B432" s="2" t="s">
        <v>480</v>
      </c>
      <c r="C432" s="3" t="str">
        <f>HYPERLINK("https://transparencia-area-fim.mpce.mp.br/#/consulta/processo/pastadigital/092024000241342","09.2024.00024134-2")</f>
        <v>09.2024.00024134-2</v>
      </c>
      <c r="D432" s="4">
        <v>45803</v>
      </c>
      <c r="E432" s="16" t="str">
        <f>HYPERLINK("https://www8.mpce.mp.br/Empenhos/150001/Objeto/03-2024.pdf","EMPENHO REF. ORGANIZAÇÃO, PLANEJAMENTO, REALIZAÇÃO, PROCESSAMENTO E RESULTADO PARA HOMOLOGAÇÃO DE CONCURSO PÚBLICO PARA PROVIMENTO E FORMAÇÃO DE CADASTRO DE RESERVA DOS CARGOS D"&amp;"E ANALISTA MINISTERIAL E TÉCNICO MINISTERIAL DO QUADRO DE PESSOAL DESTE MPCE, CONF. CONTRATO 103/2024, REF. 2025.")</f>
        <v>EMPENHO REF. ORGANIZAÇÃO, PLANEJAMENTO, REALIZAÇÃO, PROCESSAMENTO E RESULTADO PARA HOMOLOGAÇÃO DE CONCURSO PÚBLICO PARA PROVIMENTO E FORMAÇÃO DE CADASTRO DE RESERVA DOS CARGOS DE ANALISTA MINISTERIAL E TÉCNICO MINISTERIAL DO QUADRO DE PESSOAL DESTE MPCE, CONF. CONTRATO 103/2024, REF. 2025.</v>
      </c>
      <c r="F432" s="2" t="s">
        <v>481</v>
      </c>
      <c r="G432" s="5" t="str">
        <f>HYPERLINK("https://siafe.sefaz.ce.gov.br/Siafe/downloadSignature?token=d876ef27fa9140c389793a32859924f7","2025NE001487")</f>
        <v>2025NE001487</v>
      </c>
      <c r="H432" s="6">
        <v>719586.55</v>
      </c>
      <c r="I432" s="7" t="s">
        <v>347</v>
      </c>
      <c r="J432" s="10" t="s">
        <v>348</v>
      </c>
      <c r="K432" t="str">
        <f>HYPERLINK("http://www8.mpce.mp.br/Empenhos/150501/NE/2024NE000399.pdf","2024NE000399")</f>
        <v>2024NE000399</v>
      </c>
      <c r="L432">
        <v>924.98</v>
      </c>
      <c r="M432" t="s">
        <v>43</v>
      </c>
      <c r="N432">
        <v>22588967000179</v>
      </c>
    </row>
    <row r="433" spans="1:14" x14ac:dyDescent="0.25">
      <c r="A433" s="12" t="s">
        <v>159</v>
      </c>
      <c r="B433" s="2" t="s">
        <v>317</v>
      </c>
      <c r="C433" s="3" t="str">
        <f>HYPERLINK("https://transparencia-area-fim.mpce.mp.br/#/consulta/processo/pastadigital/092025000240714","09.2025.00024071-4")</f>
        <v>09.2025.00024071-4</v>
      </c>
      <c r="D433" s="4">
        <v>45919</v>
      </c>
      <c r="E433" s="16" t="s">
        <v>656</v>
      </c>
      <c r="F433" s="2" t="s">
        <v>221</v>
      </c>
      <c r="G433" s="5" t="str">
        <f>HYPERLINK("https://siafe.sefaz.ce.gov.br/Siafe/downloadSignature?token=464cb737c8ea47cfb1e4f62d926257b4","2025NE001491")</f>
        <v>2025NE001491</v>
      </c>
      <c r="H433" s="6">
        <v>7676</v>
      </c>
      <c r="I433" s="7" t="s">
        <v>609</v>
      </c>
      <c r="J433" s="10" t="s">
        <v>610</v>
      </c>
      <c r="K433" t="str">
        <f>HYPERLINK("http://www8.mpce.mp.br/Empenhos/150501/NE/2024NE000401.pdf","2024NE000401")</f>
        <v>2024NE000401</v>
      </c>
      <c r="L433" s="13">
        <v>4376.0200000000004</v>
      </c>
      <c r="M433" t="s">
        <v>95</v>
      </c>
      <c r="N433">
        <v>49090674349</v>
      </c>
    </row>
    <row r="434" spans="1:14" x14ac:dyDescent="0.25">
      <c r="A434" s="12" t="s">
        <v>159</v>
      </c>
      <c r="B434" s="2" t="s">
        <v>317</v>
      </c>
      <c r="C434" s="3" t="str">
        <f>HYPERLINK("https://transparencia-area-fim.mpce.mp.br/#/consulta/processo/pastadigital/092025000129123","09.2025.00012912-3")</f>
        <v>09.2025.00012912-3</v>
      </c>
      <c r="D434" s="4">
        <v>45919</v>
      </c>
      <c r="E434" s="16" t="s">
        <v>657</v>
      </c>
      <c r="F434" s="2" t="s">
        <v>221</v>
      </c>
      <c r="G434" s="5" t="str">
        <f>HYPERLINK("https://siafe.sefaz.ce.gov.br/Siafe/downloadSignature?token=ca4fb096bbdc4f809cfb89bba9b60927","2025NE001492")</f>
        <v>2025NE001492</v>
      </c>
      <c r="H434" s="6">
        <v>10320</v>
      </c>
      <c r="I434" s="7" t="s">
        <v>658</v>
      </c>
      <c r="J434" s="10" t="s">
        <v>659</v>
      </c>
      <c r="K434" t="str">
        <f>HYPERLINK("http://www8.mpce.mp.br/Empenhos/150501/NE/2024NE000406.pdf","2024NE000406")</f>
        <v>2024NE000406</v>
      </c>
      <c r="L434" s="13">
        <v>2862.7</v>
      </c>
      <c r="M434" t="s">
        <v>92</v>
      </c>
      <c r="N434">
        <v>15473585000134</v>
      </c>
    </row>
    <row r="435" spans="1:14" x14ac:dyDescent="0.25">
      <c r="A435" s="12" t="s">
        <v>159</v>
      </c>
      <c r="B435" s="2" t="s">
        <v>317</v>
      </c>
      <c r="C435" s="3" t="str">
        <f>HYPERLINK("https://transparencia-area-fim.mpce.mp.br/#/consulta/processo/pastadigital/092025000140040","09.2025.00014004-0")</f>
        <v>09.2025.00014004-0</v>
      </c>
      <c r="D435" s="4">
        <v>45922</v>
      </c>
      <c r="E435" s="17" t="s">
        <v>660</v>
      </c>
      <c r="F435" s="2" t="s">
        <v>661</v>
      </c>
      <c r="G435" s="5" t="str">
        <f>HYPERLINK("https://siafe.sefaz.ce.gov.br/Siafe/downloadSignature?token=46937da811144e19a682d94ec02a317c","2025NE001493")</f>
        <v>2025NE001493</v>
      </c>
      <c r="H435" s="6">
        <v>3000</v>
      </c>
      <c r="I435" s="7" t="s">
        <v>662</v>
      </c>
      <c r="J435" s="10" t="s">
        <v>663</v>
      </c>
      <c r="K435" t="str">
        <f>HYPERLINK("http://www8.mpce.mp.br/Empenhos/150501/NE/2024NE000410.pdf","2024NE000410")</f>
        <v>2024NE000410</v>
      </c>
      <c r="L435" s="13">
        <v>8000</v>
      </c>
      <c r="M435" t="s">
        <v>42</v>
      </c>
      <c r="N435">
        <v>19678451824</v>
      </c>
    </row>
    <row r="436" spans="1:14" x14ac:dyDescent="0.25">
      <c r="A436" s="12" t="s">
        <v>19</v>
      </c>
      <c r="B436" s="2" t="s">
        <v>187</v>
      </c>
      <c r="C436" s="3" t="str">
        <f>HYPERLINK("http://www8.mpce.mp.br/Dispensa/2150720189.pdf","21507/2018-9")</f>
        <v>21507/2018-9</v>
      </c>
      <c r="D436" s="4">
        <v>45922</v>
      </c>
      <c r="E436" s="16" t="str">
        <f>HYPERLINK("https://www8.mpce.mp.br/Empenhos/150001/Objeto/51-2019.pdf","EMPENHO REF. ALUGUEL DE IMÓVEL ONDE FUNCIONAM PROMOTORIAS DE JUSTIÇA DA COMARCA DE VIÇOSA DO CEARÁ, CONF. CONTRATO 051/2019, REF. REAJUSTE RETROATIVO JAN A JUN/2025.")</f>
        <v>EMPENHO REF. ALUGUEL DE IMÓVEL ONDE FUNCIONAM PROMOTORIAS DE JUSTIÇA DA COMARCA DE VIÇOSA DO CEARÁ, CONF. CONTRATO 051/2019, REF. REAJUSTE RETROATIVO JAN A JUN/2025.</v>
      </c>
      <c r="F436" s="2" t="s">
        <v>31</v>
      </c>
      <c r="G436" s="5" t="str">
        <f>HYPERLINK("https://siafe.sefaz.ce.gov.br/Siafe/downloadSignature?token=36832eca38a9481e8c8333194ba03379","2025NE001503")</f>
        <v>2025NE001503</v>
      </c>
      <c r="H436" s="6">
        <v>750.24</v>
      </c>
      <c r="I436" s="7" t="s">
        <v>98</v>
      </c>
      <c r="J436" s="10" t="s">
        <v>102</v>
      </c>
      <c r="K436" t="str">
        <f>HYPERLINK("http://www8.mpce.mp.br/Empenhos/150501/NE/2024NE000418.pdf","2024NE000418")</f>
        <v>2024NE000418</v>
      </c>
      <c r="L436" s="13">
        <v>52000</v>
      </c>
      <c r="M436" t="s">
        <v>22</v>
      </c>
      <c r="N436">
        <v>14763826000117</v>
      </c>
    </row>
    <row r="437" spans="1:14" x14ac:dyDescent="0.25">
      <c r="A437" s="12" t="s">
        <v>19</v>
      </c>
      <c r="B437" s="2" t="s">
        <v>380</v>
      </c>
      <c r="C437" s="3" t="str">
        <f>HYPERLINK("https://transparencia-area-fim.mpce.mp.br/#/consulta/processo/pastadigital/092021000244271","09.2021.00024427-1")</f>
        <v>09.2021.00024427-1</v>
      </c>
      <c r="D437" s="4">
        <v>45922</v>
      </c>
      <c r="E437" s="16" t="str">
        <f>HYPERLINK("https://www8.mpce.mp.br/Empenhos/150001/Objeto/17-2022.pdf","EMPENHO REF. IPTU DE IMÓVEL ONDE FUNCIONAM PROMOTORIAS DE JUSTIÇA DA COMARCA DE TIANGUÁ, CONF. CONTRATO 017/2022, REF. 2025 - PARCELA ÚNICA.")</f>
        <v>EMPENHO REF. IPTU DE IMÓVEL ONDE FUNCIONAM PROMOTORIAS DE JUSTIÇA DA COMARCA DE TIANGUÁ, CONF. CONTRATO 017/2022, REF. 2025 - PARCELA ÚNICA.</v>
      </c>
      <c r="F437" s="2" t="s">
        <v>323</v>
      </c>
      <c r="G437" s="5" t="str">
        <f>HYPERLINK("https://siafe.sefaz.ce.gov.br/Siafe/downloadSignature?token=6fae42be0b28478fa5bcecc3e71defe5","2025NE001504")</f>
        <v>2025NE001504</v>
      </c>
      <c r="H437" s="6">
        <v>733.97</v>
      </c>
      <c r="I437" s="7" t="s">
        <v>22</v>
      </c>
      <c r="J437" s="10" t="s">
        <v>142</v>
      </c>
      <c r="K437" t="str">
        <f>HYPERLINK("http://www8.mpce.mp.br/Empenhos/150501/NE/2024NE000419.pdf","2024NE000419")</f>
        <v>2024NE000419</v>
      </c>
      <c r="L437" s="13">
        <v>3280.7</v>
      </c>
      <c r="M437" t="s">
        <v>43</v>
      </c>
      <c r="N437">
        <v>22588967000179</v>
      </c>
    </row>
    <row r="438" spans="1:14" x14ac:dyDescent="0.25">
      <c r="A438" s="12" t="s">
        <v>19</v>
      </c>
      <c r="B438" s="2" t="s">
        <v>482</v>
      </c>
      <c r="C438" s="3" t="str">
        <f>HYPERLINK("https://transparencia-area-fim.mpce.mp.br/#/consulta/processo/pastadigital/092025000134826","09.2025.00013482-6")</f>
        <v>09.2025.00013482-6</v>
      </c>
      <c r="D438" s="4">
        <v>45807</v>
      </c>
      <c r="E438" s="16" t="s">
        <v>483</v>
      </c>
      <c r="F438" s="2" t="s">
        <v>484</v>
      </c>
      <c r="G438" s="5" t="str">
        <f>HYPERLINK("https://siafe.sefaz.ce.gov.br/Siafe/downloadSignature?token=9106003d22694ea4b4a10dafe6d8afcf","2025NE001506")</f>
        <v>2025NE001506</v>
      </c>
      <c r="H438" s="6">
        <v>3850</v>
      </c>
      <c r="I438" s="7" t="s">
        <v>485</v>
      </c>
      <c r="J438" s="10" t="s">
        <v>486</v>
      </c>
      <c r="K438" t="str">
        <f>HYPERLINK("http://www8.mpce.mp.br/Empenhos/150501/NE/2024NE000420.pdf","2024NE000420")</f>
        <v>2024NE000420</v>
      </c>
      <c r="L438" s="13">
        <v>91025.54</v>
      </c>
      <c r="M438" t="s">
        <v>27</v>
      </c>
      <c r="N438">
        <v>22705562000173</v>
      </c>
    </row>
    <row r="439" spans="1:14" x14ac:dyDescent="0.25">
      <c r="A439" s="12" t="s">
        <v>19</v>
      </c>
      <c r="B439" s="2" t="s">
        <v>236</v>
      </c>
      <c r="C439" s="3" t="str">
        <f>HYPERLINK("https://transparencia-area-fim.mpce.mp.br/#/consulta/processo/pastadigital/092025000278744","09.2025.00027874-4")</f>
        <v>09.2025.00027874-4</v>
      </c>
      <c r="D439" s="4">
        <v>45925</v>
      </c>
      <c r="E439" s="16" t="s">
        <v>664</v>
      </c>
      <c r="F439" s="2" t="s">
        <v>665</v>
      </c>
      <c r="G439" s="5" t="str">
        <f>HYPERLINK("https://siafe.sefaz.ce.gov.br/Siafe/downloadSignature?token=7704ffbc5524460fab0e4bc1971779c9","2025NE001511")</f>
        <v>2025NE001511</v>
      </c>
      <c r="H439" s="6">
        <v>32150</v>
      </c>
      <c r="I439" s="7" t="s">
        <v>666</v>
      </c>
      <c r="J439" s="10" t="s">
        <v>667</v>
      </c>
      <c r="K439" t="str">
        <f>HYPERLINK("http://www8.mpce.mp.br/Empenhos/150501/NE/2024NE000422.pdf","2024NE000422")</f>
        <v>2024NE000422</v>
      </c>
      <c r="L439" s="13">
        <v>2800</v>
      </c>
      <c r="M439" t="s">
        <v>97</v>
      </c>
      <c r="N439">
        <v>50591630320</v>
      </c>
    </row>
    <row r="440" spans="1:14" x14ac:dyDescent="0.25">
      <c r="A440" s="12" t="s">
        <v>159</v>
      </c>
      <c r="B440" s="2" t="s">
        <v>191</v>
      </c>
      <c r="C440" s="3" t="str">
        <f>HYPERLINK("https://transparencia-area-fim.mpce.mp.br/#/consulta/processo/pastadigital/092024000265223","09.2024.00026522-3")</f>
        <v>09.2024.00026522-3</v>
      </c>
      <c r="D440" s="4">
        <v>45926</v>
      </c>
      <c r="E440" s="16" t="str">
        <f>HYPERLINK("https://www8.mpce.mp.br/Empenhos/150001/Objeto/91-2024.pdf","EMPENHO REF. IPTU DE IMÓVEL ONDE FUNCIONAM PROMOTORIAS DE JUSTIÇA DA COMARCA DE JAGUARIBE, CONF. CONTRATO 091/2024, REF. 2025 - PARCELA ÚNICA.")</f>
        <v>EMPENHO REF. IPTU DE IMÓVEL ONDE FUNCIONAM PROMOTORIAS DE JUSTIÇA DA COMARCA DE JAGUARIBE, CONF. CONTRATO 091/2024, REF. 2025 - PARCELA ÚNICA.</v>
      </c>
      <c r="F440" s="2" t="s">
        <v>361</v>
      </c>
      <c r="G440" s="5" t="str">
        <f>HYPERLINK("https://siafe.sefaz.ce.gov.br/Siafe/downloadSignature?token=4588e9d861f14efeb4157a8f8228930a","2025NE001513")</f>
        <v>2025NE001513</v>
      </c>
      <c r="H440" s="6">
        <v>258.18</v>
      </c>
      <c r="I440" s="7" t="s">
        <v>198</v>
      </c>
      <c r="J440" s="10" t="s">
        <v>199</v>
      </c>
      <c r="K440" t="str">
        <f>HYPERLINK("http://www8.mpce.mp.br/Empenhos/150501/NE/2024NE000423.pdf","2024NE000423")</f>
        <v>2024NE000423</v>
      </c>
      <c r="L440" s="13">
        <v>44286.96</v>
      </c>
      <c r="M440" t="s">
        <v>30</v>
      </c>
      <c r="N440">
        <v>10508750000122</v>
      </c>
    </row>
    <row r="441" spans="1:14" x14ac:dyDescent="0.25">
      <c r="A441" s="12" t="s">
        <v>159</v>
      </c>
      <c r="B441" s="2" t="s">
        <v>317</v>
      </c>
      <c r="C441" s="3" t="str">
        <f>HYPERLINK("https://transparencia-area-fim.mpce.mp.br/#/consulta/processo/pastadigital/092025000201121","09.2025.00020112-1")</f>
        <v>09.2025.00020112-1</v>
      </c>
      <c r="D441" s="4">
        <v>45929</v>
      </c>
      <c r="E441" s="16" t="s">
        <v>668</v>
      </c>
      <c r="F441" s="2" t="s">
        <v>221</v>
      </c>
      <c r="G441" s="5" t="str">
        <f>HYPERLINK("https://siafe.sefaz.ce.gov.br/Siafe/downloadSignature?token=28881d9fd0e442cebac3dbbd49f85dc8","2025NE001516")</f>
        <v>2025NE001516</v>
      </c>
      <c r="H441" s="6">
        <v>3000</v>
      </c>
      <c r="I441" s="7" t="s">
        <v>669</v>
      </c>
      <c r="J441" s="10" t="s">
        <v>670</v>
      </c>
      <c r="K441" t="str">
        <f>HYPERLINK("http://www8.mpce.mp.br/Empenhos/150501/NE/2024NE000424.pdf","2024NE000424")</f>
        <v>2024NE000424</v>
      </c>
      <c r="L441" s="13">
        <v>117821.94</v>
      </c>
      <c r="M441" t="s">
        <v>105</v>
      </c>
      <c r="N441">
        <v>23872706000149</v>
      </c>
    </row>
    <row r="442" spans="1:14" x14ac:dyDescent="0.25">
      <c r="A442" s="12" t="s">
        <v>159</v>
      </c>
      <c r="B442" s="2" t="s">
        <v>317</v>
      </c>
      <c r="C442" s="3" t="str">
        <f>HYPERLINK("https://transparencia-area-fim.mpce.mp.br/#/consulta/processo/pastadigital/092025000242934","09.2025.00024293-4")</f>
        <v>09.2025.00024293-4</v>
      </c>
      <c r="D442" s="4">
        <v>45930</v>
      </c>
      <c r="E442" s="16" t="s">
        <v>671</v>
      </c>
      <c r="F442" s="2" t="s">
        <v>221</v>
      </c>
      <c r="G442" s="5" t="str">
        <f>HYPERLINK("https://siafe.sefaz.ce.gov.br/Siafe/downloadSignature?token=fbd71f474e03496692ccd146199363b8","2025NE001517")</f>
        <v>2025NE001517</v>
      </c>
      <c r="H442" s="6">
        <v>32000</v>
      </c>
      <c r="I442" s="7" t="s">
        <v>672</v>
      </c>
      <c r="J442" s="10" t="s">
        <v>673</v>
      </c>
      <c r="K442" t="str">
        <f>HYPERLINK("http://www8.mpce.mp.br/Empenhos/150501/NE/2024NE000428.pdf","2024NE000428")</f>
        <v>2024NE000428</v>
      </c>
      <c r="L442" s="13">
        <v>117821.94</v>
      </c>
      <c r="M442" t="s">
        <v>29</v>
      </c>
      <c r="N442">
        <v>5569807000163</v>
      </c>
    </row>
    <row r="443" spans="1:14" x14ac:dyDescent="0.25">
      <c r="A443" s="12" t="s">
        <v>159</v>
      </c>
      <c r="B443" s="2" t="s">
        <v>317</v>
      </c>
      <c r="C443" s="3" t="str">
        <f>HYPERLINK("https://transparencia-area-fim.mpce.mp.br/#/consulta/processo/pastadigital/092025000255962","09.2025.00025596-2")</f>
        <v>09.2025.00025596-2</v>
      </c>
      <c r="D443" s="4">
        <v>45929</v>
      </c>
      <c r="E443" s="16" t="s">
        <v>674</v>
      </c>
      <c r="F443" s="2" t="s">
        <v>221</v>
      </c>
      <c r="G443" s="5" t="str">
        <f>HYPERLINK("https://siafe.sefaz.ce.gov.br/Siafe/downloadSignature?token=5211e1a7e2314fd8a72f271809e03ff0","2025NE001521")</f>
        <v>2025NE001521</v>
      </c>
      <c r="H443" s="6">
        <v>4040</v>
      </c>
      <c r="I443" s="7" t="s">
        <v>609</v>
      </c>
      <c r="J443" s="10" t="s">
        <v>610</v>
      </c>
      <c r="K443" t="str">
        <f>HYPERLINK("http://www8.mpce.mp.br/Empenhos/150501/NE/2024NE000429.pdf","2024NE000429")</f>
        <v>2024NE000429</v>
      </c>
      <c r="L443" s="13">
        <v>5646.54</v>
      </c>
      <c r="M443" t="s">
        <v>38</v>
      </c>
      <c r="N443">
        <v>35165286215</v>
      </c>
    </row>
    <row r="444" spans="1:14" x14ac:dyDescent="0.25">
      <c r="A444" s="12" t="s">
        <v>159</v>
      </c>
      <c r="B444" s="2" t="s">
        <v>253</v>
      </c>
      <c r="C444" s="3" t="str">
        <f>HYPERLINK("https://transparencia-area-fim.mpce.mp.br/#/consulta/processo/pastadigital/092025000282592","09.2025.00028259-2")</f>
        <v>09.2025.00028259-2</v>
      </c>
      <c r="D444" s="4">
        <v>45937</v>
      </c>
      <c r="E444" s="16" t="s">
        <v>675</v>
      </c>
      <c r="F444" s="2" t="s">
        <v>255</v>
      </c>
      <c r="G444" s="5" t="str">
        <f>HYPERLINK("https://siafe.sefaz.ce.gov.br/Siafe/downloadSignature?token=6fd75f35ecc141ea869356433c7374cf","2025NE001527")</f>
        <v>2025NE001527</v>
      </c>
      <c r="H444" s="6">
        <v>396.78</v>
      </c>
      <c r="I444" s="7" t="s">
        <v>77</v>
      </c>
      <c r="J444" s="10" t="s">
        <v>289</v>
      </c>
      <c r="K444" t="str">
        <f>HYPERLINK("http://www8.mpce.mp.br/Empenhos/150501/NE/2024NE000430.pdf","2024NE000430")</f>
        <v>2024NE000430</v>
      </c>
      <c r="L444">
        <v>447.85</v>
      </c>
      <c r="M444" t="s">
        <v>93</v>
      </c>
      <c r="N444">
        <v>8744388000147</v>
      </c>
    </row>
    <row r="445" spans="1:14" x14ac:dyDescent="0.25">
      <c r="A445" s="12" t="s">
        <v>159</v>
      </c>
      <c r="B445" s="2" t="s">
        <v>253</v>
      </c>
      <c r="C445" s="3" t="str">
        <f>HYPERLINK("https://transparencia-area-fim.mpce.mp.br/#/consulta/processo/pastadigital/092025000282637","09.2025.00028263-7")</f>
        <v>09.2025.00028263-7</v>
      </c>
      <c r="D445" s="4">
        <v>45937</v>
      </c>
      <c r="E445" s="16" t="s">
        <v>675</v>
      </c>
      <c r="F445" s="2" t="s">
        <v>255</v>
      </c>
      <c r="G445" s="5" t="str">
        <f>HYPERLINK("https://siafe.sefaz.ce.gov.br/Siafe/downloadSignature?token=a6ba73fd331744baab8bfac672af99bd","2025NE001528")</f>
        <v>2025NE001528</v>
      </c>
      <c r="H445" s="6">
        <v>49.68</v>
      </c>
      <c r="I445" s="7" t="s">
        <v>81</v>
      </c>
      <c r="J445" s="10" t="s">
        <v>297</v>
      </c>
      <c r="K445" t="str">
        <f>HYPERLINK("http://www8.mpce.mp.br/Empenhos/150501/NE/2024NE000431.pdf","2024NE000431")</f>
        <v>2024NE000431</v>
      </c>
      <c r="L445" s="13">
        <v>5871.42</v>
      </c>
      <c r="M445" t="s">
        <v>98</v>
      </c>
      <c r="N445">
        <v>77748638349</v>
      </c>
    </row>
    <row r="446" spans="1:14" x14ac:dyDescent="0.25">
      <c r="A446" s="12" t="s">
        <v>159</v>
      </c>
      <c r="B446" s="2" t="s">
        <v>258</v>
      </c>
      <c r="C446" s="3" t="str">
        <f>HYPERLINK("https://transparencia-area-fim.mpce.mp.br/#/consulta/processo/pastadigital/092025000282748","09.2025.00028274-8")</f>
        <v>09.2025.00028274-8</v>
      </c>
      <c r="D446" s="4">
        <v>45938</v>
      </c>
      <c r="E446" s="17" t="s">
        <v>727</v>
      </c>
      <c r="F446" s="2" t="s">
        <v>255</v>
      </c>
      <c r="G446" s="5" t="str">
        <f>HYPERLINK("https://siafe.sefaz.ce.gov.br/Siafe/downloadSignature?token=721601d65041487a9719bbcaa65a15dd","2025NE001529")</f>
        <v>2025NE001529</v>
      </c>
      <c r="H446" s="6">
        <v>129.80000000000001</v>
      </c>
      <c r="I446" s="7" t="s">
        <v>65</v>
      </c>
      <c r="J446" s="10" t="s">
        <v>262</v>
      </c>
      <c r="K446" t="str">
        <f>HYPERLINK("http://www8.mpce.mp.br/Empenhos/150501/NE/2024NE000432.pdf","2024NE000432")</f>
        <v>2024NE000432</v>
      </c>
      <c r="L446" s="13">
        <v>28000</v>
      </c>
      <c r="M446" t="s">
        <v>101</v>
      </c>
      <c r="N446">
        <v>29417319000107</v>
      </c>
    </row>
    <row r="447" spans="1:14" x14ac:dyDescent="0.25">
      <c r="A447" s="12" t="s">
        <v>159</v>
      </c>
      <c r="B447" s="2" t="s">
        <v>258</v>
      </c>
      <c r="C447" s="3" t="str">
        <f>HYPERLINK("https://transparencia-area-fim.mpce.mp.br/#/consulta/processo/pastadigital/092025000282792","09.2025.00028279-2")</f>
        <v>09.2025.00028279-2</v>
      </c>
      <c r="D447" s="4">
        <v>45938</v>
      </c>
      <c r="E447" s="16" t="s">
        <v>675</v>
      </c>
      <c r="F447" s="2" t="s">
        <v>255</v>
      </c>
      <c r="G447" s="5" t="str">
        <f>HYPERLINK("https://siafe.sefaz.ce.gov.br/Siafe/downloadSignature?token=03ca6d15664e44dbb5a0f3d9499c43dd","2025NE001530")</f>
        <v>2025NE001530</v>
      </c>
      <c r="H447" s="6">
        <v>94.46</v>
      </c>
      <c r="I447" s="7" t="s">
        <v>68</v>
      </c>
      <c r="J447" s="10" t="s">
        <v>269</v>
      </c>
      <c r="K447" t="str">
        <f>HYPERLINK("http://www8.mpce.mp.br/Empenhos/150501/NE/2024NE000433.pdf","2024NE000433")</f>
        <v>2024NE000433</v>
      </c>
      <c r="L447" s="13">
        <v>66800.22</v>
      </c>
      <c r="M447" t="s">
        <v>21</v>
      </c>
      <c r="N447">
        <v>44114554000195</v>
      </c>
    </row>
    <row r="448" spans="1:14" x14ac:dyDescent="0.25">
      <c r="A448" s="12" t="s">
        <v>159</v>
      </c>
      <c r="B448" s="2" t="s">
        <v>258</v>
      </c>
      <c r="C448" s="3" t="str">
        <f>HYPERLINK("https://transparencia-area-fim.mpce.mp.br/#/consulta/processo/pastadigital/092025000282848","09.2025.00028284-8")</f>
        <v>09.2025.00028284-8</v>
      </c>
      <c r="D448" s="4">
        <v>45938</v>
      </c>
      <c r="E448" s="16" t="s">
        <v>728</v>
      </c>
      <c r="F448" s="2" t="s">
        <v>255</v>
      </c>
      <c r="G448" s="5" t="str">
        <f>HYPERLINK("https://siafe.sefaz.ce.gov.br/Siafe/downloadSignature?token=c1a3fb5480a34cc997655e052c4a205d","2025NE001531")</f>
        <v>2025NE001531</v>
      </c>
      <c r="H448" s="6">
        <v>302.04000000000002</v>
      </c>
      <c r="I448" s="7" t="s">
        <v>69</v>
      </c>
      <c r="J448" s="10" t="s">
        <v>271</v>
      </c>
      <c r="K448" t="str">
        <f>HYPERLINK("http://www8.mpce.mp.br/Empenhos/150501/NE/2024NE000434.pdf","2024NE000434")</f>
        <v>2024NE000434</v>
      </c>
      <c r="L448" s="13">
        <v>3000</v>
      </c>
      <c r="M448" t="s">
        <v>32</v>
      </c>
      <c r="N448">
        <v>91495059391</v>
      </c>
    </row>
    <row r="449" spans="1:14" x14ac:dyDescent="0.25">
      <c r="A449" s="12" t="s">
        <v>159</v>
      </c>
      <c r="B449" s="2" t="s">
        <v>258</v>
      </c>
      <c r="C449" s="3" t="str">
        <f>HYPERLINK("https://transparencia-area-fim.mpce.mp.br/#/consulta/processo/pastadigital/092025000282859","09.2025.00028285-9")</f>
        <v>09.2025.00028285-9</v>
      </c>
      <c r="D449" s="4">
        <v>45938</v>
      </c>
      <c r="E449" s="16" t="s">
        <v>675</v>
      </c>
      <c r="F449" s="2" t="s">
        <v>255</v>
      </c>
      <c r="G449" s="5" t="str">
        <f>HYPERLINK("https://siafe.sefaz.ce.gov.br/Siafe/downloadSignature?token=f690ca080d854ee981a31a434293b8e1","2025NE001532")</f>
        <v>2025NE001532</v>
      </c>
      <c r="H449" s="6">
        <v>237.84</v>
      </c>
      <c r="I449" s="7" t="s">
        <v>70</v>
      </c>
      <c r="J449" s="10" t="s">
        <v>273</v>
      </c>
      <c r="K449" t="str">
        <f>HYPERLINK("http://www8.mpce.mp.br/Empenhos/150501/NE/2024NE000435.pdf","2024NE000435")</f>
        <v>2024NE000435</v>
      </c>
      <c r="L449" s="13">
        <v>36000</v>
      </c>
      <c r="M449" t="s">
        <v>79</v>
      </c>
      <c r="N449">
        <v>48444032000102</v>
      </c>
    </row>
    <row r="450" spans="1:14" x14ac:dyDescent="0.25">
      <c r="A450" s="12" t="s">
        <v>159</v>
      </c>
      <c r="B450" s="2" t="s">
        <v>253</v>
      </c>
      <c r="C450" s="3" t="str">
        <f>HYPERLINK("https://transparencia-area-fim.mpce.mp.br/#/consulta/processo/pastadigital/092025000282860","09.2025.00028286-0")</f>
        <v>09.2025.00028286-0</v>
      </c>
      <c r="D450" s="4">
        <v>45936</v>
      </c>
      <c r="E450" s="16" t="s">
        <v>675</v>
      </c>
      <c r="F450" s="2" t="s">
        <v>255</v>
      </c>
      <c r="G450" s="5" t="str">
        <f>HYPERLINK("https://siafe.sefaz.ce.gov.br/Siafe/downloadSignature?token=b4ca173299a448e082aaade07216258b","2025NE001533")</f>
        <v>2025NE001533</v>
      </c>
      <c r="H450" s="6">
        <v>396.12</v>
      </c>
      <c r="I450" s="7" t="s">
        <v>527</v>
      </c>
      <c r="J450" s="10" t="s">
        <v>528</v>
      </c>
      <c r="K450" t="str">
        <f>HYPERLINK("http://www8.mpce.mp.br/Empenhos/150501/NE/2024NE000436.pdf","2024NE000436")</f>
        <v>2024NE000436</v>
      </c>
      <c r="L450" s="13">
        <v>4000</v>
      </c>
      <c r="M450" t="s">
        <v>34</v>
      </c>
      <c r="N450">
        <v>7021062320</v>
      </c>
    </row>
    <row r="451" spans="1:14" x14ac:dyDescent="0.25">
      <c r="A451" s="12" t="s">
        <v>159</v>
      </c>
      <c r="B451" s="2" t="s">
        <v>253</v>
      </c>
      <c r="C451" s="3" t="str">
        <f>HYPERLINK("https://transparencia-area-fim.mpce.mp.br/#/consulta/processo/pastadigital/092025000282870","09.2025.00028287-0")</f>
        <v>09.2025.00028287-0</v>
      </c>
      <c r="D451" s="4">
        <v>45936</v>
      </c>
      <c r="E451" s="16" t="s">
        <v>675</v>
      </c>
      <c r="F451" s="2" t="s">
        <v>255</v>
      </c>
      <c r="G451" s="5" t="str">
        <f>HYPERLINK("https://siafe.sefaz.ce.gov.br/Siafe/downloadSignature?token=2b78e59576504b5298177122ddddf58a","2025NE001534")</f>
        <v>2025NE001534</v>
      </c>
      <c r="H451" s="6">
        <v>424</v>
      </c>
      <c r="I451" s="7" t="s">
        <v>80</v>
      </c>
      <c r="J451" s="10" t="s">
        <v>301</v>
      </c>
      <c r="K451" t="str">
        <f>HYPERLINK("http://www8.mpce.mp.br/Empenhos/150501/NE/2024NE000438.pdf","2024NE000438")</f>
        <v>2024NE000438</v>
      </c>
      <c r="L451" s="13">
        <v>268327.5</v>
      </c>
      <c r="M451" t="s">
        <v>51</v>
      </c>
      <c r="N451">
        <v>3773788000167</v>
      </c>
    </row>
    <row r="452" spans="1:14" x14ac:dyDescent="0.25">
      <c r="A452" s="12" t="s">
        <v>159</v>
      </c>
      <c r="B452" s="2" t="s">
        <v>253</v>
      </c>
      <c r="C452" s="3" t="str">
        <f>HYPERLINK("https://transparencia-area-fim.mpce.mp.br/#/consulta/processo/pastadigital/092025000282892","09.2025.00028289-2")</f>
        <v>09.2025.00028289-2</v>
      </c>
      <c r="D452" s="4">
        <v>45936</v>
      </c>
      <c r="E452" s="16" t="s">
        <v>675</v>
      </c>
      <c r="F452" s="2" t="s">
        <v>255</v>
      </c>
      <c r="G452" s="5" t="str">
        <f>HYPERLINK("https://siafe.sefaz.ce.gov.br/Siafe/downloadSignature?token=2094b44538264c4294d7e2b27f7dfeee","2025NE001535")</f>
        <v>2025NE001535</v>
      </c>
      <c r="H452" s="6">
        <v>4000</v>
      </c>
      <c r="I452" s="7" t="s">
        <v>71</v>
      </c>
      <c r="J452" s="10" t="s">
        <v>275</v>
      </c>
      <c r="K452" t="str">
        <f>HYPERLINK("http://www8.mpce.mp.br/Empenhos/150501/NE/2024NE000440.pdf","2024NE000440")</f>
        <v>2024NE000440</v>
      </c>
      <c r="L452" s="13">
        <v>2613.4</v>
      </c>
      <c r="M452" t="s">
        <v>41</v>
      </c>
      <c r="N452">
        <v>43713017387</v>
      </c>
    </row>
    <row r="453" spans="1:14" x14ac:dyDescent="0.25">
      <c r="A453" s="12" t="s">
        <v>159</v>
      </c>
      <c r="B453" s="2" t="s">
        <v>676</v>
      </c>
      <c r="C453" s="3" t="str">
        <f>HYPERLINK("https://transparencia-area-fim.mpce.mp.br/#/consulta/processo/pastadigital/092025000282904","09.2025.00028290-4")</f>
        <v>09.2025.00028290-4</v>
      </c>
      <c r="D453" s="4">
        <v>45936</v>
      </c>
      <c r="E453" s="16" t="s">
        <v>675</v>
      </c>
      <c r="F453" s="2" t="s">
        <v>255</v>
      </c>
      <c r="G453" s="5" t="str">
        <f>HYPERLINK("https://siafe.sefaz.ce.gov.br/Siafe/downloadSignature?token=3433a734ca2a4c2c913157c7a3370375","2025NE001536")</f>
        <v>2025NE001536</v>
      </c>
      <c r="H453" s="6">
        <v>289.08</v>
      </c>
      <c r="I453" s="7" t="s">
        <v>74</v>
      </c>
      <c r="J453" s="10" t="s">
        <v>282</v>
      </c>
      <c r="K453" t="str">
        <f>HYPERLINK("http://www8.mpce.mp.br/Empenhos/150501/NE/2024NE000443.pdf","2024NE000443")</f>
        <v>2024NE000443</v>
      </c>
      <c r="L453" s="13">
        <v>32868.519999999997</v>
      </c>
      <c r="M453" t="s">
        <v>20</v>
      </c>
      <c r="N453">
        <v>11710431000168</v>
      </c>
    </row>
    <row r="454" spans="1:14" x14ac:dyDescent="0.25">
      <c r="A454" s="12" t="s">
        <v>19</v>
      </c>
      <c r="B454" s="2" t="s">
        <v>381</v>
      </c>
      <c r="C454" s="3" t="str">
        <f>HYPERLINK("https://transparencia-area-fim.mpce.mp.br/#/consulta/processo/pastadigital/092021000157125","09.2021.00015712-5")</f>
        <v>09.2021.00015712-5</v>
      </c>
      <c r="D454" s="4">
        <v>45932</v>
      </c>
      <c r="E454" s="16" t="str">
        <f>HYPERLINK("https://www8.mpce.mp.br/Empenhos/150001/Objeto/32-2021.pdf","EMPENHO REF. SEGURO DE VIDA DOS ESTAGIÁRIOS DO MPCE, CONF. CONTRATO 032/2021, REF. OUT, NOV E DEZ/2025, POR ESTIMATIVA.")</f>
        <v>EMPENHO REF. SEGURO DE VIDA DOS ESTAGIÁRIOS DO MPCE, CONF. CONTRATO 032/2021, REF. OUT, NOV E DEZ/2025, POR ESTIMATIVA.</v>
      </c>
      <c r="F454" s="2" t="s">
        <v>245</v>
      </c>
      <c r="G454" s="5" t="str">
        <f>HYPERLINK("https://siafe.sefaz.ce.gov.br/Siafe/downloadSignature?token=c1d7d72909a84b87a82a44851225e24f","2025NE001537")</f>
        <v>2025NE001537</v>
      </c>
      <c r="H454" s="6">
        <v>570</v>
      </c>
      <c r="I454" s="7" t="s">
        <v>58</v>
      </c>
      <c r="J454" s="10" t="s">
        <v>246</v>
      </c>
      <c r="K454" t="str">
        <f>HYPERLINK("http://www8.mpce.mp.br/Empenhos/150501/NE/2024NE000444.pdf","2024NE000444")</f>
        <v>2024NE000444</v>
      </c>
      <c r="L454" s="13">
        <v>5203.1000000000004</v>
      </c>
      <c r="M454" t="s">
        <v>39</v>
      </c>
      <c r="N454">
        <v>5817870304</v>
      </c>
    </row>
    <row r="455" spans="1:14" x14ac:dyDescent="0.25">
      <c r="A455" s="12" t="s">
        <v>159</v>
      </c>
      <c r="B455" s="2" t="s">
        <v>258</v>
      </c>
      <c r="C455" s="3" t="str">
        <f>HYPERLINK("https://transparencia-area-fim.mpce.mp.br/#/consulta/processo/pastadigital/092025000282570","09.2025.00028257-0")</f>
        <v>09.2025.00028257-0</v>
      </c>
      <c r="D455" s="4">
        <v>45938</v>
      </c>
      <c r="E455" s="16" t="s">
        <v>675</v>
      </c>
      <c r="F455" s="2" t="s">
        <v>255</v>
      </c>
      <c r="G455" s="5" t="str">
        <f>HYPERLINK("https://siafe.sefaz.ce.gov.br/Siafe/downloadSignature?token=1d1da792de4d48969671075934d4f4ac","2025NE001538")</f>
        <v>2025NE001538</v>
      </c>
      <c r="H455" s="6">
        <v>78.56</v>
      </c>
      <c r="I455" s="7" t="s">
        <v>76</v>
      </c>
      <c r="J455" s="10" t="s">
        <v>288</v>
      </c>
      <c r="K455" t="str">
        <f>HYPERLINK("http://www8.mpce.mp.br/Empenhos/150501/NE/2024NE000445.pdf","2024NE000445")</f>
        <v>2024NE000445</v>
      </c>
      <c r="L455" s="13">
        <v>26400</v>
      </c>
      <c r="M455" t="s">
        <v>55</v>
      </c>
      <c r="N455">
        <v>44231385000173</v>
      </c>
    </row>
    <row r="456" spans="1:14" x14ac:dyDescent="0.25">
      <c r="A456" s="12" t="s">
        <v>159</v>
      </c>
      <c r="B456" s="2" t="s">
        <v>258</v>
      </c>
      <c r="C456" s="3" t="str">
        <f>HYPERLINK("https://transparencia-area-fim.mpce.mp.br/#/consulta/processo/pastadigital/092025000282626","09.2025.00028262-6")</f>
        <v>09.2025.00028262-6</v>
      </c>
      <c r="D456" s="4">
        <v>45938</v>
      </c>
      <c r="E456" s="16" t="s">
        <v>675</v>
      </c>
      <c r="F456" s="2" t="s">
        <v>255</v>
      </c>
      <c r="G456" s="5" t="str">
        <f>HYPERLINK("https://siafe.sefaz.ce.gov.br/Siafe/downloadSignature?token=f941ac32b8124683af31a3d982a00277","2025NE001539")</f>
        <v>2025NE001539</v>
      </c>
      <c r="H456" s="6">
        <v>400</v>
      </c>
      <c r="I456" s="7" t="s">
        <v>78</v>
      </c>
      <c r="J456" s="10" t="s">
        <v>295</v>
      </c>
      <c r="K456" t="str">
        <f>HYPERLINK("http://www8.mpce.mp.br/Empenhos/150501/NE/2024NE000448.pdf","2024NE000448")</f>
        <v>2024NE000448</v>
      </c>
      <c r="L456" s="13">
        <v>54000</v>
      </c>
      <c r="M456" t="s">
        <v>26</v>
      </c>
      <c r="N456">
        <v>41456187000110</v>
      </c>
    </row>
    <row r="457" spans="1:14" x14ac:dyDescent="0.25">
      <c r="A457" s="12" t="s">
        <v>19</v>
      </c>
      <c r="B457" s="2" t="s">
        <v>606</v>
      </c>
      <c r="C457" s="3" t="str">
        <f>HYPERLINK("https://transparencia-area-fim.mpce.mp.br/#/consulta/processo/pastadigital/092025000283091","09.2025.00028309-1")</f>
        <v>09.2025.00028309-1</v>
      </c>
      <c r="D457" s="4">
        <v>45943</v>
      </c>
      <c r="E457" s="16" t="s">
        <v>729</v>
      </c>
      <c r="F457" s="2" t="s">
        <v>291</v>
      </c>
      <c r="G457" s="5" t="str">
        <f>HYPERLINK("https://siafe.sefaz.ce.gov.br/Siafe/downloadSignature?token=eac618574536475abd381715bab8f410","2025NE001540")</f>
        <v>2025NE001540</v>
      </c>
      <c r="H457" s="6">
        <v>184000</v>
      </c>
      <c r="I457" s="7" t="s">
        <v>292</v>
      </c>
      <c r="J457" s="10" t="s">
        <v>293</v>
      </c>
      <c r="K457" t="str">
        <f>HYPERLINK("http://www8.mpce.mp.br/Empenhos/150501/NE/2024NE000449.pdf","2024NE000449")</f>
        <v>2024NE000449</v>
      </c>
      <c r="L457" s="13">
        <v>3100</v>
      </c>
      <c r="M457" t="s">
        <v>45</v>
      </c>
      <c r="N457">
        <v>84738480391</v>
      </c>
    </row>
    <row r="458" spans="1:14" x14ac:dyDescent="0.25">
      <c r="A458" s="12" t="s">
        <v>159</v>
      </c>
      <c r="B458" s="2" t="s">
        <v>258</v>
      </c>
      <c r="C458" s="3" t="str">
        <f>HYPERLINK("https://transparencia-area-fim.mpce.mp.br/#/consulta/processo/pastadigital/092025000282915","09.2025.00028291-5")</f>
        <v>09.2025.00028291-5</v>
      </c>
      <c r="D458" s="4">
        <v>45943</v>
      </c>
      <c r="E458" s="16" t="s">
        <v>730</v>
      </c>
      <c r="F458" s="2" t="s">
        <v>255</v>
      </c>
      <c r="G458" s="5" t="str">
        <f>HYPERLINK("https://siafe.sefaz.ce.gov.br/Siafe/downloadSignature?token=5ab4b66b51ce43cab43971f1c3d79687","2025NE001542")</f>
        <v>2025NE001542</v>
      </c>
      <c r="H458" s="6">
        <v>120000</v>
      </c>
      <c r="I458" s="7" t="s">
        <v>75</v>
      </c>
      <c r="J458" s="10" t="s">
        <v>286</v>
      </c>
      <c r="K458" t="str">
        <f>HYPERLINK("http://www8.mpce.mp.br/Empenhos/150501/NE/2024NE000450.pdf","2024NE000450")</f>
        <v>2024NE000450</v>
      </c>
      <c r="L458" s="13">
        <v>4000</v>
      </c>
      <c r="M458" t="s">
        <v>47</v>
      </c>
      <c r="N458">
        <v>78214130387</v>
      </c>
    </row>
    <row r="459" spans="1:14" x14ac:dyDescent="0.25">
      <c r="A459" s="12" t="s">
        <v>19</v>
      </c>
      <c r="B459" s="2" t="s">
        <v>187</v>
      </c>
      <c r="C459" s="3" t="str">
        <f>HYPERLINK("https://transparencia-area-fim.mpce.mp.br/#/consulta/processo/pastadigital/092021000244282","09.2021.00024428-2")</f>
        <v>09.2021.00024428-2</v>
      </c>
      <c r="D459" s="4">
        <v>45933</v>
      </c>
      <c r="E459" s="16" t="str">
        <f>HYPERLINK("https://www8.mpce.mp.br/Empenhos/150001/Objeto/18-2022.pdf","EMPENHO REF. ALUGUEL DE IMÓVEL ONDE FUNCIONAM PROMOTORIAS DE JUSTIÇA DA COMARCA DE CRATEÚS, CONF. CONTRATO 018/2022, REF. REAJUSTE RETROATIVO - JUL, AGO E SET/2025.")</f>
        <v>EMPENHO REF. ALUGUEL DE IMÓVEL ONDE FUNCIONAM PROMOTORIAS DE JUSTIÇA DA COMARCA DE CRATEÚS, CONF. CONTRATO 018/2022, REF. REAJUSTE RETROATIVO - JUL, AGO E SET/2025.</v>
      </c>
      <c r="F459" s="2" t="s">
        <v>130</v>
      </c>
      <c r="G459" s="5" t="str">
        <f>HYPERLINK("https://siafe.sefaz.ce.gov.br/Siafe/downloadSignature?token=870a0077ce484cb398b25e651882df61","2025NE001543")</f>
        <v>2025NE001543</v>
      </c>
      <c r="H459" s="6">
        <v>1873.42</v>
      </c>
      <c r="I459" s="7" t="s">
        <v>21</v>
      </c>
      <c r="J459" s="10" t="s">
        <v>140</v>
      </c>
      <c r="K459" t="str">
        <f>HYPERLINK("http://www8.mpce.mp.br/Empenhos/150501/NE/2024NE000451.pdf","2024NE000451")</f>
        <v>2024NE000451</v>
      </c>
      <c r="L459" s="13">
        <v>10800</v>
      </c>
      <c r="M459" t="s">
        <v>94</v>
      </c>
      <c r="N459">
        <v>33457311000133</v>
      </c>
    </row>
    <row r="460" spans="1:14" x14ac:dyDescent="0.25">
      <c r="A460" s="12" t="s">
        <v>19</v>
      </c>
      <c r="B460" s="2" t="s">
        <v>187</v>
      </c>
      <c r="C460" s="3" t="str">
        <f>HYPERLINK("https://transparencia-area-fim.mpce.mp.br/#/consulta/processo/pastadigital/092021000219739","09.2021.00021973-9")</f>
        <v>09.2021.00021973-9</v>
      </c>
      <c r="D460" s="4">
        <v>45933</v>
      </c>
      <c r="E460" s="16" t="str">
        <f>HYPERLINK("https://www8.mpce.mp.br/Empenhos/150001/Objeto/45-2021.pdf","EMPENHO REF. ALUGUEL DE IMÓVEL ONDE FUNCIONAM PROMOTORIAS DE JUSTIÇA DA COMARCA DE EUSÉBIO, CONF. CONTRATO 045/2021, REF. REAJUSTE RETROATIVO - JAN A SET/2025.")</f>
        <v>EMPENHO REF. ALUGUEL DE IMÓVEL ONDE FUNCIONAM PROMOTORIAS DE JUSTIÇA DA COMARCA DE EUSÉBIO, CONF. CONTRATO 045/2021, REF. REAJUSTE RETROATIVO - JAN A SET/2025.</v>
      </c>
      <c r="F460" s="2" t="s">
        <v>130</v>
      </c>
      <c r="G460" s="5" t="str">
        <f>HYPERLINK("https://siafe.sefaz.ce.gov.br/Siafe/downloadSignature?token=120694f473544bdfb9d9f5efea5688a0","2025NE001544")</f>
        <v>2025NE001544</v>
      </c>
      <c r="H460" s="6">
        <v>823.77</v>
      </c>
      <c r="I460" s="7" t="s">
        <v>43</v>
      </c>
      <c r="J460" s="10" t="s">
        <v>186</v>
      </c>
      <c r="K460" t="str">
        <f>HYPERLINK("http://www8.mpce.mp.br/Empenhos/150501/NE/2024NE000452.pdf","2024NE000452")</f>
        <v>2024NE000452</v>
      </c>
      <c r="L460" s="13">
        <v>10800</v>
      </c>
      <c r="M460" t="s">
        <v>94</v>
      </c>
      <c r="N460">
        <v>33457311000133</v>
      </c>
    </row>
    <row r="461" spans="1:14" x14ac:dyDescent="0.25">
      <c r="A461" s="12" t="s">
        <v>19</v>
      </c>
      <c r="B461" s="2" t="s">
        <v>187</v>
      </c>
      <c r="C461" s="3" t="str">
        <f>HYPERLINK("https://transparencia-area-fim.mpce.mp.br/#/consulta/processo/pastadigital/092022000276145","09.2022.00027614-5")</f>
        <v>09.2022.00027614-5</v>
      </c>
      <c r="D461" s="4">
        <v>45933</v>
      </c>
      <c r="E461" s="16" t="str">
        <f>HYPERLINK("https://www8.mpce.mp.br/Empenhos/150001/Objeto/36-2022.pdf","EMPENHO REF. ALUGUEL DE IMÓVEL ONDE FUNCIONAM AS PROMOTORIAS DE JUSTIÇA DA COMARCA DE ARARIPE, CONF. CONTRATO 036/2022, REF. OUT E NOV/2025, POR ESTIMATIVA.")</f>
        <v>EMPENHO REF. ALUGUEL DE IMÓVEL ONDE FUNCIONAM AS PROMOTORIAS DE JUSTIÇA DA COMARCA DE ARARIPE, CONF. CONTRATO 036/2022, REF. OUT E NOV/2025, POR ESTIMATIVA.</v>
      </c>
      <c r="F461" s="2" t="s">
        <v>31</v>
      </c>
      <c r="G461" s="5" t="str">
        <f>HYPERLINK("https://siafe.sefaz.ce.gov.br/Siafe/downloadSignature?token=b425e98de5b1447ea4faa35cd882d9ae","2025NE001547")</f>
        <v>2025NE001547</v>
      </c>
      <c r="H461" s="6">
        <v>3000</v>
      </c>
      <c r="I461" s="7" t="s">
        <v>32</v>
      </c>
      <c r="J461" s="10" t="s">
        <v>163</v>
      </c>
      <c r="K461" t="str">
        <f>HYPERLINK("http://www8.mpce.mp.br/Empenhos/150501/NE/2024NE000454.pdf","2024NE000454")</f>
        <v>2024NE000454</v>
      </c>
      <c r="L461" s="13">
        <v>37800</v>
      </c>
      <c r="M461" t="s">
        <v>23</v>
      </c>
      <c r="N461">
        <v>32697604000125</v>
      </c>
    </row>
    <row r="462" spans="1:14" x14ac:dyDescent="0.25">
      <c r="A462" s="12" t="s">
        <v>159</v>
      </c>
      <c r="B462" s="2" t="s">
        <v>677</v>
      </c>
      <c r="C462" s="3" t="str">
        <f>HYPERLINK("https://transparencia-area-fim.mpce.mp.br/#/consulta/processo/pastadigital/092025000026529","09.2025.00002652-9")</f>
        <v>09.2025.00002652-9</v>
      </c>
      <c r="D462" s="4">
        <v>45933</v>
      </c>
      <c r="E462" s="16" t="str">
        <f>HYPERLINK("https://www8.mpce.mp.br/Empenhos/150001/Objeto/33-2025.pdf","EMPENHO REF. ALUGUEL DE IMÓVEL ONDE FUNCIONAM PROMOTORIAS DE JUSTIÇA DA COMARCA DE JIJOCA DE JERICOACOARA-CE, CONF. CONTRATO 033/2025, REF. OUT E NOV/2025, POR ESTIMATIVA.")</f>
        <v>EMPENHO REF. ALUGUEL DE IMÓVEL ONDE FUNCIONAM PROMOTORIAS DE JUSTIÇA DA COMARCA DE JIJOCA DE JERICOACOARA-CE, CONF. CONTRATO 033/2025, REF. OUT E NOV/2025, POR ESTIMATIVA.</v>
      </c>
      <c r="F462" s="2" t="s">
        <v>31</v>
      </c>
      <c r="G462" s="5" t="str">
        <f>HYPERLINK("https://siafe.sefaz.ce.gov.br/Siafe/downloadSignature?token=e313c9131f944543ab2ae94616f257c7","2025NE001548")</f>
        <v>2025NE001548</v>
      </c>
      <c r="H462" s="6">
        <v>10000</v>
      </c>
      <c r="I462" s="7" t="s">
        <v>643</v>
      </c>
      <c r="J462" s="10" t="s">
        <v>644</v>
      </c>
      <c r="K462" t="str">
        <f>HYPERLINK("http://www8.mpce.mp.br/Empenhos/150501/NE/2024NE000455.pdf","2024NE000455")</f>
        <v>2024NE000455</v>
      </c>
      <c r="L462" s="13">
        <v>5000</v>
      </c>
      <c r="M462" t="s">
        <v>46</v>
      </c>
      <c r="N462">
        <v>7136315387</v>
      </c>
    </row>
    <row r="463" spans="1:14" x14ac:dyDescent="0.25">
      <c r="A463" s="12" t="s">
        <v>159</v>
      </c>
      <c r="B463" s="2" t="s">
        <v>677</v>
      </c>
      <c r="C463" s="3" t="str">
        <f>HYPERLINK("https://transparencia-area-fim.mpce.mp.br/#/consulta/processo/pastadigital/092022000426227","09.2022.00042622-7")</f>
        <v>09.2022.00042622-7</v>
      </c>
      <c r="D463" s="4">
        <v>45936</v>
      </c>
      <c r="E463" s="16" t="str">
        <f>HYPERLINK("https://www8.mpce.mp.br/Empenhos/150001/Objeto/33-2023.pdf","EMPENHO REF. ALUGUEL DE IMÓVEL ONDE FUNCIONAM PROMOTORIAS DE JUSTIÇA DA COMARCA DE JUCÁS, CONF. CONTRATO 033/2023, REF. OUT E NOV/2025, POR ESTIMATIVA.")</f>
        <v>EMPENHO REF. ALUGUEL DE IMÓVEL ONDE FUNCIONAM PROMOTORIAS DE JUSTIÇA DA COMARCA DE JUCÁS, CONF. CONTRATO 033/2023, REF. OUT E NOV/2025, POR ESTIMATIVA.</v>
      </c>
      <c r="F463" s="2" t="s">
        <v>31</v>
      </c>
      <c r="G463" s="5" t="str">
        <f>HYPERLINK("https://siafe.sefaz.ce.gov.br/Siafe/downloadSignature?token=5016816005fd46b7836b8bfd51602929","2025NE001549")</f>
        <v>2025NE001549</v>
      </c>
      <c r="H463" s="6">
        <v>5000</v>
      </c>
      <c r="I463" s="7" t="s">
        <v>46</v>
      </c>
      <c r="J463" s="10" t="s">
        <v>194</v>
      </c>
      <c r="K463" t="str">
        <f>HYPERLINK("http://www8.mpce.mp.br/Empenhos/150501/NE/2024NE000456.pdf","2024NE000456")</f>
        <v>2024NE000456</v>
      </c>
      <c r="L463" s="13">
        <v>36930</v>
      </c>
      <c r="M463" t="s">
        <v>24</v>
      </c>
      <c r="N463">
        <v>7936046000166</v>
      </c>
    </row>
    <row r="464" spans="1:14" x14ac:dyDescent="0.25">
      <c r="A464" s="12" t="s">
        <v>19</v>
      </c>
      <c r="B464" s="2" t="s">
        <v>187</v>
      </c>
      <c r="C464" s="3" t="str">
        <f>HYPERLINK("http://www8.mpce.mp.br/Dispensa/575920103.pdf","5759/2010-3")</f>
        <v>5759/2010-3</v>
      </c>
      <c r="D464" s="4">
        <v>45936</v>
      </c>
      <c r="E464" s="17" t="str">
        <f>HYPERLINK("https://www8.mpce.mp.br/Empenhos/150001/Objeto/22-2010.pdf","EMPENHO REF. ALUGUEL DE IMÓVEL ONDE FUNCIONAM PROMOTORIAS DE JUSTIÇA DA COMARCA DE GUAIÚBA, CONF. CONTRATO 022/2010, REF. OUT E NOV/2025, POR ESTIMATIVA.")</f>
        <v>EMPENHO REF. ALUGUEL DE IMÓVEL ONDE FUNCIONAM PROMOTORIAS DE JUSTIÇA DA COMARCA DE GUAIÚBA, CONF. CONTRATO 022/2010, REF. OUT E NOV/2025, POR ESTIMATIVA.</v>
      </c>
      <c r="F464" s="2" t="s">
        <v>31</v>
      </c>
      <c r="G464" s="5" t="str">
        <f>HYPERLINK("https://siafe.sefaz.ce.gov.br/Siafe/downloadSignature?token=6a69e314bda7486abed364fa4f26313f","2025NE001550")</f>
        <v>2025NE001550</v>
      </c>
      <c r="H464" s="6">
        <v>4911.88</v>
      </c>
      <c r="I464" s="7" t="s">
        <v>86</v>
      </c>
      <c r="J464" s="10" t="s">
        <v>87</v>
      </c>
      <c r="K464" t="str">
        <f>HYPERLINK("http://www8.mpce.mp.br/Empenhos/150501/NE/2024NE000457.pdf","2024NE000457")</f>
        <v>2024NE000457</v>
      </c>
      <c r="L464" s="13">
        <v>41800</v>
      </c>
      <c r="M464" t="s">
        <v>23</v>
      </c>
      <c r="N464">
        <v>32697604000125</v>
      </c>
    </row>
    <row r="465" spans="1:14" x14ac:dyDescent="0.25">
      <c r="A465" s="12" t="s">
        <v>19</v>
      </c>
      <c r="B465" s="2" t="s">
        <v>678</v>
      </c>
      <c r="C465" s="3" t="str">
        <f>HYPERLINK("https://transparencia-area-fim.mpce.mp.br/#/consulta/processo/pastadigital/092022000091296","09.2022.00009129-6")</f>
        <v>09.2022.00009129-6</v>
      </c>
      <c r="D465" s="4">
        <v>45933</v>
      </c>
      <c r="E465" s="16" t="str">
        <f>HYPERLINK("https://www8.mpce.mp.br/Empenhos/150001/Objeto/33-2022.pdf","EMPENHO REF. ALUGUEL DE IMÓVEL ONDE FUNCIONAM PROMOTORIAS DE JUSTIÇA DA COMARCA DE VÁRZEA ALEGRE, CONF. CONTRATO 033/2022, REF. OUT E NOV/2025, POR ESTIMATIVA.")</f>
        <v>EMPENHO REF. ALUGUEL DE IMÓVEL ONDE FUNCIONAM PROMOTORIAS DE JUSTIÇA DA COMARCA DE VÁRZEA ALEGRE, CONF. CONTRATO 033/2022, REF. OUT E NOV/2025, POR ESTIMATIVA.</v>
      </c>
      <c r="F465" s="2" t="s">
        <v>31</v>
      </c>
      <c r="G465" s="5" t="str">
        <f>HYPERLINK("https://siafe.sefaz.ce.gov.br/Siafe/downloadSignature?token=fabd2bb471714846abdc7dda61bd9812","2025NE001551")</f>
        <v>2025NE001551</v>
      </c>
      <c r="H465" s="6">
        <v>1670.8</v>
      </c>
      <c r="I465" s="7" t="s">
        <v>33</v>
      </c>
      <c r="J465" s="10" t="s">
        <v>165</v>
      </c>
      <c r="K465" t="str">
        <f>HYPERLINK("http://www8.mpce.mp.br/Empenhos/150501/NE/2024NE000458.pdf","2024NE000458")</f>
        <v>2024NE000458</v>
      </c>
      <c r="L465" s="13">
        <v>16300.56</v>
      </c>
      <c r="M465" t="s">
        <v>62</v>
      </c>
      <c r="N465">
        <v>2144832315</v>
      </c>
    </row>
    <row r="466" spans="1:14" x14ac:dyDescent="0.25">
      <c r="A466" s="12" t="s">
        <v>19</v>
      </c>
      <c r="B466" s="2" t="s">
        <v>187</v>
      </c>
      <c r="C466" s="3" t="str">
        <f>HYPERLINK("https://transparencia-area-fim.mpce.mp.br/#/consulta/processo/pastadigital/092021000155016","09.2021.00015501-6")</f>
        <v>09.2021.00015501-6</v>
      </c>
      <c r="D466" s="4">
        <v>45936</v>
      </c>
      <c r="E466" s="16" t="str">
        <f>HYPERLINK("https://www8.mpce.mp.br/Empenhos/150001/Objeto/26-2021.pdf","EMPENHO REF. ALUGUEL DE IMÓVEL ONDE FUNCIONAM PROMOTORIAS DE JUSTIÇA DA COMARCA DE BREJO SANTO, CONF. CONTRATO 026/2021, REF. OUT E NOV/2025, POR ESTIMATIVA.")</f>
        <v>EMPENHO REF. ALUGUEL DE IMÓVEL ONDE FUNCIONAM PROMOTORIAS DE JUSTIÇA DA COMARCA DE BREJO SANTO, CONF. CONTRATO 026/2021, REF. OUT E NOV/2025, POR ESTIMATIVA.</v>
      </c>
      <c r="F466" s="2" t="s">
        <v>31</v>
      </c>
      <c r="G466" s="5" t="str">
        <f>HYPERLINK("https://siafe.sefaz.ce.gov.br/Siafe/downloadSignature?token=585c91b8b3b3409d9d545d39c0cc2e01","2025NE001552")</f>
        <v>2025NE001552</v>
      </c>
      <c r="H466" s="6">
        <v>5203.1000000000004</v>
      </c>
      <c r="I466" s="7" t="s">
        <v>39</v>
      </c>
      <c r="J466" s="10" t="s">
        <v>178</v>
      </c>
      <c r="K466" t="str">
        <f>HYPERLINK("http://www8.mpce.mp.br/Empenhos/150501/NE/2024NE000459.pdf","2024NE000459")</f>
        <v>2024NE000459</v>
      </c>
      <c r="L466" s="13">
        <v>28360</v>
      </c>
      <c r="M466" t="s">
        <v>23</v>
      </c>
      <c r="N466">
        <v>32697604000125</v>
      </c>
    </row>
    <row r="467" spans="1:14" x14ac:dyDescent="0.25">
      <c r="A467" s="12" t="s">
        <v>19</v>
      </c>
      <c r="B467" s="2" t="s">
        <v>187</v>
      </c>
      <c r="C467" s="3" t="str">
        <f>HYPERLINK("https://transparencia-area-fim.mpce.mp.br/#/consulta/processo/pastadigital/092022000264193","09.2022.00026419-3")</f>
        <v>09.2022.00026419-3</v>
      </c>
      <c r="D467" s="4">
        <v>45933</v>
      </c>
      <c r="E467" s="16" t="str">
        <f>HYPERLINK("https://www8.mpce.mp.br/Empenhos/150001/Objeto/28-2022.pdf","EMPENHO REF. ALUGUEL DE IMÓVEL ONDE FUNCIONAM PROMOTORIAS DE JUSTIÇA DA COMARCA DE AURORA, CONF. CONTRATO 028/2022, REF. OUT E NOV/2025, POR ESTIMATIVA.")</f>
        <v>EMPENHO REF. ALUGUEL DE IMÓVEL ONDE FUNCIONAM PROMOTORIAS DE JUSTIÇA DA COMARCA DE AURORA, CONF. CONTRATO 028/2022, REF. OUT E NOV/2025, POR ESTIMATIVA.</v>
      </c>
      <c r="F467" s="2" t="s">
        <v>31</v>
      </c>
      <c r="G467" s="5" t="str">
        <f>HYPERLINK("https://siafe.sefaz.ce.gov.br/Siafe/downloadSignature?token=0162c688da1c4ca795557d9fc2c3b638","2025NE001553")</f>
        <v>2025NE001553</v>
      </c>
      <c r="H467" s="6">
        <v>4166.3999999999996</v>
      </c>
      <c r="I467" s="7" t="s">
        <v>618</v>
      </c>
      <c r="J467" s="10" t="s">
        <v>619</v>
      </c>
      <c r="K467" t="str">
        <f>HYPERLINK("http://www8.mpce.mp.br/Empenhos/150501/NE/2024NE000460.pdf","2024NE000460")</f>
        <v>2024NE000460</v>
      </c>
      <c r="L467" s="13">
        <v>1360.06</v>
      </c>
      <c r="M467" t="s">
        <v>99</v>
      </c>
      <c r="N467">
        <v>20941439372</v>
      </c>
    </row>
    <row r="468" spans="1:14" x14ac:dyDescent="0.25">
      <c r="A468" s="12" t="s">
        <v>19</v>
      </c>
      <c r="B468" s="2" t="s">
        <v>187</v>
      </c>
      <c r="C468" s="3" t="str">
        <f>HYPERLINK("https://transparencia-area-fim.mpce.mp.br/#/consulta/processo/pastadigital/092021000121226","09.2021.00012122-6")</f>
        <v>09.2021.00012122-6</v>
      </c>
      <c r="D468" s="4">
        <v>45937</v>
      </c>
      <c r="E468" s="16" t="str">
        <f>HYPERLINK("https://www8.mpce.mp.br/Empenhos/150001/Objeto/34-2021.pdf","EMPENHO REF. ALUGUEL DE IMÓVEL ONDE FUNCIONAM PROMOTORIAS DE JUSTIÇA DA COMARCA DE SÃO BENEDITO, CONF. CONTRATO 034/2021, REF. OUT E NOV/2025, POR ESTIMATIVA.")</f>
        <v>EMPENHO REF. ALUGUEL DE IMÓVEL ONDE FUNCIONAM PROMOTORIAS DE JUSTIÇA DA COMARCA DE SÃO BENEDITO, CONF. CONTRATO 034/2021, REF. OUT E NOV/2025, POR ESTIMATIVA.</v>
      </c>
      <c r="F468" s="2" t="s">
        <v>31</v>
      </c>
      <c r="G468" s="5" t="str">
        <f>HYPERLINK("https://siafe.sefaz.ce.gov.br/Siafe/downloadSignature?token=3eb8753a02d6430d8bbc60d0697e6980","2025NE001554")</f>
        <v>2025NE001554</v>
      </c>
      <c r="H468" s="6">
        <v>5646.54</v>
      </c>
      <c r="I468" s="7" t="s">
        <v>38</v>
      </c>
      <c r="J468" s="10" t="s">
        <v>176</v>
      </c>
      <c r="K468" t="str">
        <f>HYPERLINK("http://www8.mpce.mp.br/Empenhos/150501/NE/2024NE000462.pdf","2024NE000462")</f>
        <v>2024NE000462</v>
      </c>
      <c r="L468" s="13">
        <v>5911.33</v>
      </c>
      <c r="M468" t="s">
        <v>20</v>
      </c>
      <c r="N468">
        <v>11710431000168</v>
      </c>
    </row>
    <row r="469" spans="1:14" x14ac:dyDescent="0.25">
      <c r="A469" s="12" t="s">
        <v>19</v>
      </c>
      <c r="B469" s="2" t="s">
        <v>187</v>
      </c>
      <c r="C469" s="3" t="str">
        <f>HYPERLINK("http://www8.mpce.mp.br/Dispensa/6795020160.pdf","6795020160")</f>
        <v>6795020160</v>
      </c>
      <c r="D469" s="4">
        <v>45936</v>
      </c>
      <c r="E469" s="16" t="str">
        <f>HYPERLINK("https://www8.mpce.mp.br/Empenhos/150001/Objeto/08-2017.pdf","EMPENHO REF. ALUGUEL DE IMÓVEL ONDE FUNCIONAM AS PROMOTORIAS DE JUSTIÇA DA COMARCA DE JARDIM, CONF. CONTRATO 008/2017, REF. OUT E NOV/2025, POR ESTIMATIVA.")</f>
        <v>EMPENHO REF. ALUGUEL DE IMÓVEL ONDE FUNCIONAM AS PROMOTORIAS DE JUSTIÇA DA COMARCA DE JARDIM, CONF. CONTRATO 008/2017, REF. OUT E NOV/2025, POR ESTIMATIVA.</v>
      </c>
      <c r="F469" s="2" t="s">
        <v>31</v>
      </c>
      <c r="G469" s="5" t="str">
        <f>HYPERLINK("https://siafe.sefaz.ce.gov.br/Siafe/downloadSignature?token=4f9188fb12d64e67bfff0271b7afa8e5","2025NE001555")</f>
        <v>2025NE001555</v>
      </c>
      <c r="H469" s="6">
        <v>1474.86</v>
      </c>
      <c r="I469" s="7" t="s">
        <v>99</v>
      </c>
      <c r="J469" s="10" t="s">
        <v>128</v>
      </c>
      <c r="K469" t="str">
        <f>HYPERLINK("http://www8.mpce.mp.br/Empenhos/150501/NE/2024NE000469.pdf","2024NE000469")</f>
        <v>2024NE000469</v>
      </c>
      <c r="L469" s="13">
        <v>11036.3</v>
      </c>
      <c r="M469" t="s">
        <v>37</v>
      </c>
      <c r="N469">
        <v>34123367852</v>
      </c>
    </row>
    <row r="470" spans="1:14" x14ac:dyDescent="0.25">
      <c r="A470" s="12" t="s">
        <v>19</v>
      </c>
      <c r="B470" s="2" t="s">
        <v>187</v>
      </c>
      <c r="C470" s="3" t="str">
        <f>HYPERLINK("http://www8.mpce.mp.br/Dispensa/4503020176.pdf","45030/2017-6")</f>
        <v>45030/2017-6</v>
      </c>
      <c r="D470" s="4">
        <v>45936</v>
      </c>
      <c r="E470" s="16" t="str">
        <f>HYPERLINK("https://www8.mpce.mp.br/Empenhos/150001/Objeto/74-2019.pdf","EMPENHO REF. ALUGUEL DE IMÓVEL ONDE FUNCIONAM PROMOTORIAS DE JUSTIÇA DA COMARCA DE GRANJA, CONF. CONTRATO 074/2019, REF. OUT E NOV/2025, POR ESTIMATIVA.")</f>
        <v>EMPENHO REF. ALUGUEL DE IMÓVEL ONDE FUNCIONAM PROMOTORIAS DE JUSTIÇA DA COMARCA DE GRANJA, CONF. CONTRATO 074/2019, REF. OUT E NOV/2025, POR ESTIMATIVA.</v>
      </c>
      <c r="F470" s="2" t="s">
        <v>31</v>
      </c>
      <c r="G470" s="5" t="str">
        <f>HYPERLINK("https://siafe.sefaz.ce.gov.br/Siafe/downloadSignature?token=c3fb0ab9917a4eb285d0720b4fbe0e54","2025NE001556")</f>
        <v>2025NE001556</v>
      </c>
      <c r="H470" s="6">
        <v>4671.28</v>
      </c>
      <c r="I470" s="7" t="s">
        <v>95</v>
      </c>
      <c r="J470" s="10" t="s">
        <v>96</v>
      </c>
      <c r="K470" t="str">
        <f>HYPERLINK("http://www8.mpce.mp.br/Empenhos/150501/NE/2024NE000470.pdf","2024NE000470")</f>
        <v>2024NE000470</v>
      </c>
      <c r="L470" s="13">
        <v>161000</v>
      </c>
      <c r="M470" t="s">
        <v>57</v>
      </c>
      <c r="N470">
        <v>15664649000184</v>
      </c>
    </row>
    <row r="471" spans="1:14" x14ac:dyDescent="0.25">
      <c r="A471" s="12" t="s">
        <v>19</v>
      </c>
      <c r="B471" s="2" t="s">
        <v>679</v>
      </c>
      <c r="C471" s="3" t="str">
        <f>HYPERLINK("https://transparencia-area-fim.mpce.mp.br/#/consulta/processo/pastadigital/092021000166790","09.2021.00016679-0")</f>
        <v>09.2021.00016679-0</v>
      </c>
      <c r="D471" s="4">
        <v>45936</v>
      </c>
      <c r="E471" s="16" t="str">
        <f>HYPERLINK("https://www8.mpce.mp.br/Empenhos/150001/Objeto/24-2022.pdf","EMPENHO REF. ALUGUEL DE IMÓVEL ONDE FUNCIONAM PROMOTORIAS DE JUSTIÇA DA COMARCA DE HORIZONTE, CONF. CONTRATO 024/2022, REF. OUT E NOV/2025, POR ESTIMATIVA.")</f>
        <v>EMPENHO REF. ALUGUEL DE IMÓVEL ONDE FUNCIONAM PROMOTORIAS DE JUSTIÇA DA COMARCA DE HORIZONTE, CONF. CONTRATO 024/2022, REF. OUT E NOV/2025, POR ESTIMATIVA.</v>
      </c>
      <c r="F471" s="2" t="s">
        <v>31</v>
      </c>
      <c r="G471" s="5" t="str">
        <f>HYPERLINK("https://siafe.sefaz.ce.gov.br/Siafe/downloadSignature?token=f2fbec06b2df42868aff4471bf1dcca4","2025NE001557")</f>
        <v>2025NE001557</v>
      </c>
      <c r="H471" s="6">
        <v>5003.3999999999996</v>
      </c>
      <c r="I471" s="7" t="s">
        <v>36</v>
      </c>
      <c r="J471" s="10" t="s">
        <v>172</v>
      </c>
      <c r="K471" t="str">
        <f>HYPERLINK("http://www8.mpce.mp.br/Empenhos/150501/NE/2024NE000472.pdf","2024NE000472")</f>
        <v>2024NE000472</v>
      </c>
      <c r="L471">
        <v>46.43</v>
      </c>
      <c r="M471" t="s">
        <v>86</v>
      </c>
      <c r="N471">
        <v>46950052391</v>
      </c>
    </row>
    <row r="472" spans="1:14" x14ac:dyDescent="0.25">
      <c r="A472" s="12" t="s">
        <v>159</v>
      </c>
      <c r="B472" s="2" t="s">
        <v>191</v>
      </c>
      <c r="C472" s="3" t="str">
        <f>HYPERLINK("https://transparencia-area-fim.mpce.mp.br/#/consulta/processo/pastadigital/092024000115580","09.2024.00011558-0")</f>
        <v>09.2024.00011558-0</v>
      </c>
      <c r="D472" s="4">
        <v>45936</v>
      </c>
      <c r="E472" s="16" t="str">
        <f>HYPERLINK("https://www8.mpce.mp.br/Empenhos/150001/Objeto/16-2025.pdf","EMPENHO REF. ALUGUEL DE IMÓVEL ONDE FUNCIONAM PROMOTORIAS DE JUSTIÇA DA COMARCA DE NOVA RUSSAS, CONF. CONTRATO 016/2025, REF. OUT E NOV/2025, POR ESTIMATIVA.")</f>
        <v>EMPENHO REF. ALUGUEL DE IMÓVEL ONDE FUNCIONAM PROMOTORIAS DE JUSTIÇA DA COMARCA DE NOVA RUSSAS, CONF. CONTRATO 016/2025, REF. OUT E NOV/2025, POR ESTIMATIVA.</v>
      </c>
      <c r="F472" s="2" t="s">
        <v>31</v>
      </c>
      <c r="G472" s="5" t="str">
        <f>HYPERLINK("https://siafe.sefaz.ce.gov.br/Siafe/downloadSignature?token=1c32a0db09cb418fa4f49ed6243ef33a","2025NE001558")</f>
        <v>2025NE001558</v>
      </c>
      <c r="H472" s="6">
        <v>6553.96</v>
      </c>
      <c r="I472" s="7" t="s">
        <v>487</v>
      </c>
      <c r="J472" s="10" t="s">
        <v>488</v>
      </c>
      <c r="K472" t="str">
        <f>HYPERLINK("http://www8.mpce.mp.br/Empenhos/150501/NE/2024NE000473.pdf","2024NE000473")</f>
        <v>2024NE000473</v>
      </c>
      <c r="L472" s="13">
        <v>3302.3</v>
      </c>
      <c r="M472" t="s">
        <v>40</v>
      </c>
      <c r="N472">
        <v>50937197300</v>
      </c>
    </row>
    <row r="473" spans="1:14" x14ac:dyDescent="0.25">
      <c r="A473" s="12" t="s">
        <v>159</v>
      </c>
      <c r="B473" s="2" t="s">
        <v>677</v>
      </c>
      <c r="C473" s="3" t="str">
        <f>HYPERLINK("https://transparencia-area-fim.mpce.mp.br/#/consulta/processo/pastadigital/092022000371847","09.2022.00037184-7")</f>
        <v>09.2022.00037184-7</v>
      </c>
      <c r="D473" s="4">
        <v>45936</v>
      </c>
      <c r="E473" s="16" t="str">
        <f>HYPERLINK("https://www8.mpce.mp.br/Empenhos/150001/Objeto/44-2023.pdf","EMPENHO REF. ALUGUEL DE IMÓVEL ONDE FUNCIONAM PROMOTORIAS DE JUSTIÇA DA COMARCA DE MARCO, CONF. CONTRATO 033/2022, REF. OUT E NOV/2025, POR ESTIMATIVA.")</f>
        <v>EMPENHO REF. ALUGUEL DE IMÓVEL ONDE FUNCIONAM PROMOTORIAS DE JUSTIÇA DA COMARCA DE MARCO, CONF. CONTRATO 033/2022, REF. OUT E NOV/2025, POR ESTIMATIVA.</v>
      </c>
      <c r="F473" s="2" t="s">
        <v>31</v>
      </c>
      <c r="G473" s="5" t="str">
        <f>HYPERLINK("https://siafe.sefaz.ce.gov.br/Siafe/downloadSignature?token=0b86321d87d340f5807690ff1ff4d193","2025NE001559")</f>
        <v>2025NE001559</v>
      </c>
      <c r="H473" s="6">
        <v>2400</v>
      </c>
      <c r="I473" s="7" t="s">
        <v>44</v>
      </c>
      <c r="J473" s="10" t="s">
        <v>192</v>
      </c>
      <c r="K473" t="str">
        <f>HYPERLINK("http://www8.mpce.mp.br/Empenhos/150501/NE/2024NE000474.pdf","2024NE000474")</f>
        <v>2024NE000474</v>
      </c>
      <c r="L473">
        <v>26</v>
      </c>
      <c r="M473" t="s">
        <v>40</v>
      </c>
      <c r="N473">
        <v>50937197300</v>
      </c>
    </row>
    <row r="474" spans="1:14" x14ac:dyDescent="0.25">
      <c r="A474" s="12" t="s">
        <v>19</v>
      </c>
      <c r="B474" s="2" t="s">
        <v>679</v>
      </c>
      <c r="C474" s="3" t="str">
        <f>HYPERLINK("http://www8.mpce.mp.br/Dispensa/1955220197.pdf","19552/2019-7")</f>
        <v>19552/2019-7</v>
      </c>
      <c r="D474" s="4">
        <v>45936</v>
      </c>
      <c r="E474" s="16" t="str">
        <f>HYPERLINK("https://www8.mpce.mp.br/Empenhos/150001/Objeto/85-2019.pdf","EMPENHO REF. ALUGUEL DE IMÓVEL ONDE FUNCIONAM PROMOTORIAS DE JUSTIÇA DA COMARCA DE PARAIPABA, CONF. CONTRATO 085/2019, REF. OUT E NOV/2025, POR ESTIMATIVA.")</f>
        <v>EMPENHO REF. ALUGUEL DE IMÓVEL ONDE FUNCIONAM PROMOTORIAS DE JUSTIÇA DA COMARCA DE PARAIPABA, CONF. CONTRATO 085/2019, REF. OUT E NOV/2025, POR ESTIMATIVA.</v>
      </c>
      <c r="F474" s="2" t="s">
        <v>31</v>
      </c>
      <c r="G474" s="5" t="str">
        <f>HYPERLINK("https://siafe.sefaz.ce.gov.br/Siafe/downloadSignature?token=f00c2f4102fb42a1bdf7aac0bf06397e","2025NE001560")</f>
        <v>2025NE001560</v>
      </c>
      <c r="H474" s="6">
        <v>2784.26</v>
      </c>
      <c r="I474" s="7" t="s">
        <v>41</v>
      </c>
      <c r="J474" s="10" t="s">
        <v>182</v>
      </c>
      <c r="K474" t="str">
        <f>HYPERLINK("http://www8.mpce.mp.br/Empenhos/150501/NE/2024NE000475.pdf","2024NE000475")</f>
        <v>2024NE000475</v>
      </c>
      <c r="L474" s="13">
        <v>2619.0100000000002</v>
      </c>
      <c r="M474" t="s">
        <v>29</v>
      </c>
      <c r="N474">
        <v>5569807000163</v>
      </c>
    </row>
    <row r="475" spans="1:14" x14ac:dyDescent="0.25">
      <c r="A475" s="12" t="s">
        <v>19</v>
      </c>
      <c r="B475" s="2" t="s">
        <v>680</v>
      </c>
      <c r="C475" s="3" t="str">
        <f>HYPERLINK("https://transparencia-area-fim.mpce.mp.br/#/consulta/processo/pastadigital/092021000219739","09.2021.00021973-9")</f>
        <v>09.2021.00021973-9</v>
      </c>
      <c r="D475" s="4">
        <v>45936</v>
      </c>
      <c r="E475" s="16" t="str">
        <f>HYPERLINK("https://www8.mpce.mp.br/Empenhos/150001/Objeto/45-2021.pdf","EMPENHO DE LOCAÇÃO DE IMÓVEL  ONDE FUNCIONAM AS PROMOTORIAS DE JUSTIÇA DA COMARCA DE EUSÉBIO, CONF. CONTRATO Nº45/2021., POR ESTIMATIVA E REFERENTE AOS MESES DE OUTUBRO E NOVEMB"&amp;"RO DE 2025.")</f>
        <v>EMPENHO DE LOCAÇÃO DE IMÓVEL  ONDE FUNCIONAM AS PROMOTORIAS DE JUSTIÇA DA COMARCA DE EUSÉBIO, CONF. CONTRATO Nº45/2021., POR ESTIMATIVA E REFERENTE AOS MESES DE OUTUBRO E NOVEMBRO DE 2025.</v>
      </c>
      <c r="F475" s="2" t="s">
        <v>130</v>
      </c>
      <c r="G475" s="5" t="str">
        <f>HYPERLINK("https://siafe.sefaz.ce.gov.br/Siafe/downloadSignature?token=33ac57d48e0a45afbfbc19fe55b16bd7","2025NE001565")</f>
        <v>2025NE001565</v>
      </c>
      <c r="H475" s="6">
        <v>3463.76</v>
      </c>
      <c r="I475" s="7" t="s">
        <v>43</v>
      </c>
      <c r="J475" s="10" t="s">
        <v>186</v>
      </c>
      <c r="K475" t="str">
        <f>HYPERLINK("http://www8.mpce.mp.br/Empenhos/150501/NE/2024NE000476.pdf","2024NE000476")</f>
        <v>2024NE000476</v>
      </c>
      <c r="L475" s="13">
        <v>1585.98</v>
      </c>
      <c r="M475" t="s">
        <v>20</v>
      </c>
      <c r="N475">
        <v>11710431000168</v>
      </c>
    </row>
    <row r="476" spans="1:14" x14ac:dyDescent="0.25">
      <c r="A476" s="12" t="s">
        <v>19</v>
      </c>
      <c r="B476" s="2" t="s">
        <v>681</v>
      </c>
      <c r="C476" s="3" t="str">
        <f>HYPERLINK("http://www8.mpce.mp.br/Dispensa/2004820193.pdf","20048/2019-3")</f>
        <v>20048/2019-3</v>
      </c>
      <c r="D476" s="4">
        <v>45936</v>
      </c>
      <c r="E476" s="16" t="str">
        <f>HYPERLINK("https://www8.mpce.mp.br/Empenhos/150001/Objeto/84-2019.pdf","LOCAÇÃO DE IMÓVEL ONDE FUNCIONAM AS PROMOTORIAS DE JUSTIÇA DE MOMBAÇA-CE CONFORME CONTRATO 084/2019, POR ESTIMATIVA E REFERENTE AOS MESES DE OUTUBRO E NOVEMBRO DE 2025.")</f>
        <v>LOCAÇÃO DE IMÓVEL ONDE FUNCIONAM AS PROMOTORIAS DE JUSTIÇA DE MOMBAÇA-CE CONFORME CONTRATO 084/2019, POR ESTIMATIVA E REFERENTE AOS MESES DE OUTUBRO E NOVEMBRO DE 2025.</v>
      </c>
      <c r="F476" s="2" t="s">
        <v>31</v>
      </c>
      <c r="G476" s="5" t="str">
        <f>HYPERLINK("https://siafe.sefaz.ce.gov.br/Siafe/downloadSignature?token=07686120fa994adc80a6ae91f2c31d9e","2025NE001566")</f>
        <v>2025NE001566</v>
      </c>
      <c r="H476" s="6">
        <v>8506.52</v>
      </c>
      <c r="I476" s="7" t="s">
        <v>42</v>
      </c>
      <c r="J476" s="10" t="s">
        <v>184</v>
      </c>
      <c r="K476" t="str">
        <f>HYPERLINK("http://www8.mpce.mp.br/Empenhos/150001/NE/2024NE000476.pdf","2024NE000476")</f>
        <v>2024NE000476</v>
      </c>
      <c r="L476" s="13">
        <v>29700</v>
      </c>
      <c r="M476" t="s">
        <v>106</v>
      </c>
      <c r="N476">
        <v>36418009000164</v>
      </c>
    </row>
    <row r="477" spans="1:14" x14ac:dyDescent="0.25">
      <c r="A477" s="12" t="s">
        <v>159</v>
      </c>
      <c r="B477" s="2" t="s">
        <v>682</v>
      </c>
      <c r="C477" s="3" t="str">
        <f>HYPERLINK("https://transparencia-area-fim.mpce.mp.br/#/consulta/processo/pastadigital/092022000083885","09.2022.00008388-5")</f>
        <v>09.2022.00008388-5</v>
      </c>
      <c r="D477" s="4">
        <v>45936</v>
      </c>
      <c r="E477" s="16" t="str">
        <f>HYPERLINK("https://www8.mpce.mp.br/Empenhos/150001/Objeto/36-2023.pdf","	LOCAÇÃO DE IMÓVEL ONDE FUNCIONAM AS PROMOTORIAS DE JUSTIÇA DA COMARCA DE SOLONÓPOLE, CONFORME CONTRATO036/2023 , POR ESTIMATIVA E PARA OS MESES DE3 OUTUBRO E NOVEMBRO/2025.")</f>
        <v xml:space="preserve">	LOCAÇÃO DE IMÓVEL ONDE FUNCIONAM AS PROMOTORIAS DE JUSTIÇA DA COMARCA DE SOLONÓPOLE, CONFORME CONTRATO036/2023 , POR ESTIMATIVA E PARA OS MESES DE3 OUTUBRO E NOVEMBRO/2025.</v>
      </c>
      <c r="F477" s="2" t="s">
        <v>31</v>
      </c>
      <c r="G477" s="5" t="str">
        <f>HYPERLINK("https://siafe.sefaz.ce.gov.br/Siafe/downloadSignature?token=4837842179f34566874286df3cde7234","2025NE001567")</f>
        <v>2025NE001567</v>
      </c>
      <c r="H477" s="6">
        <v>8209.1200000000008</v>
      </c>
      <c r="I477" s="7" t="s">
        <v>49</v>
      </c>
      <c r="J477" s="10" t="s">
        <v>197</v>
      </c>
      <c r="K477" t="str">
        <f>HYPERLINK("http://www8.mpce.mp.br/Empenhos/150501/NE/2024NE000481.pdf","2024NE000481")</f>
        <v>2024NE000481</v>
      </c>
      <c r="L477" s="13">
        <v>20105.18</v>
      </c>
      <c r="M477" t="s">
        <v>21</v>
      </c>
      <c r="N477">
        <v>44114554000195</v>
      </c>
    </row>
    <row r="478" spans="1:14" x14ac:dyDescent="0.25">
      <c r="A478" s="12" t="s">
        <v>159</v>
      </c>
      <c r="B478" s="2" t="s">
        <v>683</v>
      </c>
      <c r="C478" s="3" t="str">
        <f>HYPERLINK("https://transparencia-area-fim.mpce.mp.br/#/consulta/processo/pastadigital/092022000409094","09.2022.00040909-4")</f>
        <v>09.2022.00040909-4</v>
      </c>
      <c r="D478" s="4">
        <v>45936</v>
      </c>
      <c r="E478" s="16" t="str">
        <f>HYPERLINK("https://www8.mpce.mp.br/Empenhos/150001/Objeto/41-2023.pdf","LOCAÇÃO DE IMÓVEL ONDE FUNCIONAM AS PROMOTORIAS JUSTIÇA DA COMARCA DE GUARACIABA DO NORTE-CE, POR ESTIMATIVA E REFERENTE AOS MESES DE OUTUBRO E NOVEMBRO DE 2025.")</f>
        <v>LOCAÇÃO DE IMÓVEL ONDE FUNCIONAM AS PROMOTORIAS JUSTIÇA DA COMARCA DE GUARACIABA DO NORTE-CE, POR ESTIMATIVA E REFERENTE AOS MESES DE OUTUBRO E NOVEMBRO DE 2025.</v>
      </c>
      <c r="F478" s="2" t="s">
        <v>31</v>
      </c>
      <c r="G478" s="5" t="str">
        <f>HYPERLINK("https://siafe.sefaz.ce.gov.br/Siafe/downloadSignature?token=1c97b183eb504dc287e487e6d96e9897","2025NE001568")</f>
        <v>2025NE001568</v>
      </c>
      <c r="H478" s="6">
        <v>4600</v>
      </c>
      <c r="I478" s="7" t="s">
        <v>45</v>
      </c>
      <c r="J478" s="10" t="s">
        <v>193</v>
      </c>
      <c r="K478" t="str">
        <f>HYPERLINK("http://www8.mpce.mp.br/Empenhos/150501/NE/2024NE000485.pdf","2024NE000485")</f>
        <v>2024NE000485</v>
      </c>
      <c r="L478" s="13">
        <v>27224</v>
      </c>
      <c r="M478" t="s">
        <v>23</v>
      </c>
      <c r="N478">
        <v>32697604000125</v>
      </c>
    </row>
    <row r="479" spans="1:14" x14ac:dyDescent="0.25">
      <c r="A479" s="12" t="s">
        <v>159</v>
      </c>
      <c r="B479" s="2" t="s">
        <v>258</v>
      </c>
      <c r="C479" s="3" t="str">
        <f>HYPERLINK("https://transparencia-area-fim.mpce.mp.br/#/consulta/processo/pastadigital/092025000152490","09.2025.00015249-0")</f>
        <v>09.2025.00015249-0</v>
      </c>
      <c r="D479" s="4">
        <v>45810</v>
      </c>
      <c r="E479" s="16" t="s">
        <v>526</v>
      </c>
      <c r="F479" s="2" t="s">
        <v>255</v>
      </c>
      <c r="G479" s="5" t="str">
        <f>HYPERLINK("https://siafe.sefaz.ce.gov.br/Siafe/downloadSignature?token=8fc82e0a716a4a66899ebcf08efe6c14","2025NE001569")</f>
        <v>2025NE001569</v>
      </c>
      <c r="H479" s="6">
        <v>62.21</v>
      </c>
      <c r="I479" s="7" t="s">
        <v>527</v>
      </c>
      <c r="J479" s="10" t="s">
        <v>528</v>
      </c>
      <c r="K479" t="str">
        <f>HYPERLINK("http://www8.mpce.mp.br/Empenhos/150501/NE/2024NE000486.pdf","2024NE000486")</f>
        <v>2024NE000486</v>
      </c>
      <c r="L479" s="13">
        <v>4683.9399999999996</v>
      </c>
      <c r="M479" t="s">
        <v>86</v>
      </c>
      <c r="N479">
        <v>46950052391</v>
      </c>
    </row>
    <row r="480" spans="1:14" x14ac:dyDescent="0.25">
      <c r="A480" s="12" t="s">
        <v>19</v>
      </c>
      <c r="B480" s="2" t="s">
        <v>684</v>
      </c>
      <c r="C480" s="3" t="str">
        <f>HYPERLINK("https://transparencia-area-fim.mpce.mp.br/#/consulta/processo/pastadigital/092022000110511","09.2022.00011051-1")</f>
        <v>09.2022.00011051-1</v>
      </c>
      <c r="D480" s="4">
        <v>45936</v>
      </c>
      <c r="E480" s="16" t="str">
        <f>HYPERLINK("https://www8.mpce.mp.br/Empenhos/150001/Objeto/38-2022.pdf","EMPENHO DOS ALUGUÉIS DOS MESES DE OUTUBRO E NOVEMBRO DE 2025 (PROMOTORIAS DE JUSTIÇA DA COMARCA DE NOVA OLINDA), CONF. CONTRATO Nº 038/2022.")</f>
        <v>EMPENHO DOS ALUGUÉIS DOS MESES DE OUTUBRO E NOVEMBRO DE 2025 (PROMOTORIAS DE JUSTIÇA DA COMARCA DE NOVA OLINDA), CONF. CONTRATO Nº 038/2022.</v>
      </c>
      <c r="F480" s="2" t="s">
        <v>31</v>
      </c>
      <c r="G480" s="5" t="str">
        <f>HYPERLINK("https://siafe.sefaz.ce.gov.br/Siafe/downloadSignature?token=3fe52a887b1141529147777ffb8860a2","2025NE001569")</f>
        <v>2025NE001569</v>
      </c>
      <c r="H480" s="6">
        <v>4000</v>
      </c>
      <c r="I480" s="7" t="s">
        <v>47</v>
      </c>
      <c r="J480" s="10" t="s">
        <v>195</v>
      </c>
      <c r="K480" t="str">
        <f>HYPERLINK("http://www8.mpce.mp.br/Empenhos/150501/NE/2024NE000487.pdf","2024NE000487")</f>
        <v>2024NE000487</v>
      </c>
      <c r="L480" s="13">
        <v>8683.1200000000008</v>
      </c>
      <c r="M480" t="s">
        <v>88</v>
      </c>
      <c r="N480">
        <v>18904432391</v>
      </c>
    </row>
    <row r="481" spans="1:14" x14ac:dyDescent="0.25">
      <c r="A481" s="12" t="s">
        <v>159</v>
      </c>
      <c r="B481" s="2" t="s">
        <v>191</v>
      </c>
      <c r="C481" s="3" t="str">
        <f>HYPERLINK("https://transparencia-area-fim.mpce.mp.br/#/consulta/processo/pastadigital/092024000173970","09.2024.00017397-0")</f>
        <v>09.2024.00017397-0</v>
      </c>
      <c r="D481" s="4">
        <v>45936</v>
      </c>
      <c r="E481" s="16" t="str">
        <f>HYPERLINK("https://www8.mpce.mp.br/Empenhos/150001/Objeto/44-2024.pdf","EMPENHO REF. ALUGUEL DE IMÓVEL ONDE FUNCIONAM PROMOTORIAS DE JUSTIÇA DA COMARCA DE ACARAÚ-CE, CONF. CONTRATO 044/2024, REF. OUT E NOV/2025, POR ESTIMATIVA.")</f>
        <v>EMPENHO REF. ALUGUEL DE IMÓVEL ONDE FUNCIONAM PROMOTORIAS DE JUSTIÇA DA COMARCA DE ACARAÚ-CE, CONF. CONTRATO 044/2024, REF. OUT E NOV/2025, POR ESTIMATIVA.</v>
      </c>
      <c r="F481" s="2" t="s">
        <v>130</v>
      </c>
      <c r="G481" s="5" t="str">
        <f>HYPERLINK("https://siafe.sefaz.ce.gov.br/Siafe/downloadSignature?token=f9a6bf92304a489184c8adf695d655be","2025NE001572")</f>
        <v>2025NE001572</v>
      </c>
      <c r="H481" s="6">
        <v>6807.76</v>
      </c>
      <c r="I481" s="7" t="s">
        <v>48</v>
      </c>
      <c r="J481" s="10" t="s">
        <v>196</v>
      </c>
      <c r="K481" t="str">
        <f>HYPERLINK("http://www8.mpce.mp.br/Empenhos/150501/NE/2024NE000488.pdf","2024NE000488")</f>
        <v>2024NE000488</v>
      </c>
      <c r="L481" s="13">
        <v>52000.2</v>
      </c>
      <c r="M481" t="s">
        <v>21</v>
      </c>
      <c r="N481">
        <v>44114554000195</v>
      </c>
    </row>
    <row r="482" spans="1:14" x14ac:dyDescent="0.25">
      <c r="A482" s="12" t="s">
        <v>19</v>
      </c>
      <c r="B482" s="2" t="s">
        <v>187</v>
      </c>
      <c r="C482" s="3" t="str">
        <f>HYPERLINK("https://transparencia-area-fim.mpce.mp.br/#/consulta/processo/pastadigital/092022000343795","09.2022.00034379-5")</f>
        <v>09.2022.00034379-5</v>
      </c>
      <c r="D482" s="4">
        <v>45936</v>
      </c>
      <c r="E482" s="16" t="str">
        <f>HYPERLINK("https://www8.mpce.mp.br/Empenhos/150001/Objeto/25-2023.pdf","EMPENHO REF. ALUGUEL DE IMÓVEL ONDE FUNCIONAM PROMOTORIAS DE JUSTIÇA DA COMARCA DE CANINDÉ, CONF. CONTRATO 025/2023, REF. OUT-NOV/2025, POR ESTIMATIVA.")</f>
        <v>EMPENHO REF. ALUGUEL DE IMÓVEL ONDE FUNCIONAM PROMOTORIAS DE JUSTIÇA DA COMARCA DE CANINDÉ, CONF. CONTRATO 025/2023, REF. OUT-NOV/2025, POR ESTIMATIVA.</v>
      </c>
      <c r="F482" s="2" t="s">
        <v>130</v>
      </c>
      <c r="G482" s="5" t="str">
        <f>HYPERLINK("https://siafe.sefaz.ce.gov.br/Siafe/downloadSignature?token=b43ffaf21da2455fba0f5a670524304e","2025NE001573")</f>
        <v>2025NE001573</v>
      </c>
      <c r="H482" s="6">
        <v>29336</v>
      </c>
      <c r="I482" s="7" t="s">
        <v>101</v>
      </c>
      <c r="J482" s="10" t="s">
        <v>131</v>
      </c>
      <c r="K482" t="str">
        <f>HYPERLINK("http://www8.mpce.mp.br/Empenhos/150501/NE/2024NE000489.pdf","2024NE000489")</f>
        <v>2024NE000489</v>
      </c>
      <c r="L482" s="13">
        <v>4800</v>
      </c>
      <c r="M482" t="s">
        <v>36</v>
      </c>
      <c r="N482">
        <v>25876988391</v>
      </c>
    </row>
    <row r="483" spans="1:14" x14ac:dyDescent="0.25">
      <c r="A483" s="12" t="s">
        <v>19</v>
      </c>
      <c r="B483" s="2" t="s">
        <v>187</v>
      </c>
      <c r="C483" s="3" t="str">
        <f>HYPERLINK("https://transparencia-area-fim.mpce.mp.br/#/consulta/processo/pastadigital/092023000338530","09.2023.00033853-0")</f>
        <v>09.2023.00033853-0</v>
      </c>
      <c r="D483" s="4">
        <v>45936</v>
      </c>
      <c r="E483" s="16" t="str">
        <f>HYPERLINK("https://www8.mpce.mp.br/Empenhos/150001/Objeto/05-2024.pdf","EMPENHO REF. ALUGUEL DE IMÓVEL ONDE FUNCIONAM PROMOTORIAS DE JUSTIÇA DA COMARCA DE BATURITÉ-CE, CONF. CONTRATO 005/2024, REF. OUT E NOV/2025, POR ESTIMATIVA.")</f>
        <v>EMPENHO REF. ALUGUEL DE IMÓVEL ONDE FUNCIONAM PROMOTORIAS DE JUSTIÇA DA COMARCA DE BATURITÉ-CE, CONF. CONTRATO 005/2024, REF. OUT E NOV/2025, POR ESTIMATIVA.</v>
      </c>
      <c r="F483" s="2" t="s">
        <v>130</v>
      </c>
      <c r="G483" s="5" t="str">
        <f>HYPERLINK("https://siafe.sefaz.ce.gov.br/Siafe/downloadSignature?token=fdf2a8e66dc9433c9bea5226380e348f","2025NE001574")</f>
        <v>2025NE001574</v>
      </c>
      <c r="H483" s="6">
        <v>30544</v>
      </c>
      <c r="I483" s="7" t="s">
        <v>21</v>
      </c>
      <c r="J483" s="10" t="s">
        <v>140</v>
      </c>
      <c r="K483" t="str">
        <f>HYPERLINK("http://www8.mpce.mp.br/Empenhos/150501/NE/2024NE000490.pdf","2024NE000490")</f>
        <v>2024NE000490</v>
      </c>
      <c r="L483" s="13">
        <v>7794.48</v>
      </c>
      <c r="M483" t="s">
        <v>49</v>
      </c>
      <c r="N483">
        <v>1728735335</v>
      </c>
    </row>
    <row r="484" spans="1:14" x14ac:dyDescent="0.25">
      <c r="A484" s="12" t="s">
        <v>19</v>
      </c>
      <c r="B484" s="2" t="s">
        <v>187</v>
      </c>
      <c r="C484" s="3" t="str">
        <f>HYPERLINK("https://transparencia-area-fim.mpce.mp.br/#/consulta/processo/pastadigital/092022000197876","09.2022.00019787-6")</f>
        <v>09.2022.00019787-6</v>
      </c>
      <c r="D484" s="4">
        <v>45936</v>
      </c>
      <c r="E484" s="16" t="str">
        <f>HYPERLINK("https://www8.mpce.mp.br/Empenhos/150001/Objeto/02-2023.pdf","EMPENHO REF. ALUGUEL DE IMÓVEL ONDE FUNCIONA O NÚCLEO DE MEDIAÇÃO COMUNITÁRIA DO BOM JARDIM, CONF. CONTRATO 002/2023, REF. OUT E NOV/2025, POR ESTIMATIVA.")</f>
        <v>EMPENHO REF. ALUGUEL DE IMÓVEL ONDE FUNCIONA O NÚCLEO DE MEDIAÇÃO COMUNITÁRIA DO BOM JARDIM, CONF. CONTRATO 002/2023, REF. OUT E NOV/2025, POR ESTIMATIVA.</v>
      </c>
      <c r="F484" s="2" t="s">
        <v>130</v>
      </c>
      <c r="G484" s="5" t="str">
        <f>HYPERLINK("https://siafe.sefaz.ce.gov.br/Siafe/downloadSignature?token=3a47d9ccf7684e528a3ecc45a87fa5c3","2025NE001575")</f>
        <v>2025NE001575</v>
      </c>
      <c r="H484" s="6">
        <v>11200</v>
      </c>
      <c r="I484" s="7" t="s">
        <v>28</v>
      </c>
      <c r="J484" s="10" t="s">
        <v>156</v>
      </c>
      <c r="K484" t="str">
        <f>HYPERLINK("http://www8.mpce.mp.br/Empenhos/150501/NE/2024NE000491.pdf","2024NE000491")</f>
        <v>2024NE000491</v>
      </c>
      <c r="L484" s="13">
        <v>132322.82</v>
      </c>
      <c r="M484" t="s">
        <v>20</v>
      </c>
      <c r="N484">
        <v>11710431000168</v>
      </c>
    </row>
    <row r="485" spans="1:14" x14ac:dyDescent="0.25">
      <c r="A485" s="12" t="s">
        <v>19</v>
      </c>
      <c r="B485" s="2" t="s">
        <v>187</v>
      </c>
      <c r="C485" s="3" t="str">
        <f>HYPERLINK("https://transparencia-area-fim.mpce.mp.br/#/consulta/processo/pastadigital/092022000343840","09.2022.00034384-0")</f>
        <v>09.2022.00034384-0</v>
      </c>
      <c r="D485" s="4">
        <v>45936</v>
      </c>
      <c r="E485" s="16" t="str">
        <f>HYPERLINK("https://www8.mpce.mp.br/Empenhos/150001/Objeto/11-2023.pdf","EMPENHO REF. ALUGUEL DE IMÓVEL ONDE FUNCIONAM PROMOTORIAS DE JUSTIÇA DA COMARCA DE SANTA QUITÉRIA, CONF. CONTRATO 011/2023, REF. OUT E NOV/2025, POR ESTIMATIVA.")</f>
        <v>EMPENHO REF. ALUGUEL DE IMÓVEL ONDE FUNCIONAM PROMOTORIAS DE JUSTIÇA DA COMARCA DE SANTA QUITÉRIA, CONF. CONTRATO 011/2023, REF. OUT E NOV/2025, POR ESTIMATIVA.</v>
      </c>
      <c r="F485" s="2" t="s">
        <v>130</v>
      </c>
      <c r="G485" s="5" t="str">
        <f>HYPERLINK("https://siafe.sefaz.ce.gov.br/Siafe/downloadSignature?token=f1ebcdd7429c41c29b35815edf9100df","2025NE001576")</f>
        <v>2025NE001576</v>
      </c>
      <c r="H485" s="6">
        <v>26400</v>
      </c>
      <c r="I485" s="7" t="s">
        <v>55</v>
      </c>
      <c r="J485" s="10" t="s">
        <v>232</v>
      </c>
      <c r="K485" t="str">
        <f>HYPERLINK("http://www8.mpce.mp.br/Empenhos/150501/NE/2024NE000495.pdf","2024NE000495")</f>
        <v>2024NE000495</v>
      </c>
      <c r="L485" s="13">
        <v>4192.49</v>
      </c>
      <c r="M485" t="s">
        <v>21</v>
      </c>
      <c r="N485">
        <v>44114554000195</v>
      </c>
    </row>
    <row r="486" spans="1:14" x14ac:dyDescent="0.25">
      <c r="A486" s="12" t="s">
        <v>19</v>
      </c>
      <c r="B486" s="2" t="s">
        <v>187</v>
      </c>
      <c r="C486" s="3" t="str">
        <f>HYPERLINK("http://www8.mpce.mp.br/Dispensa/2150720189.pdf","21507/2018-9")</f>
        <v>21507/2018-9</v>
      </c>
      <c r="D486" s="4">
        <v>45936</v>
      </c>
      <c r="E486" s="16" t="str">
        <f>HYPERLINK("https://www8.mpce.mp.br/Empenhos/150001/Objeto/51-2019.pdf","EMPENHO REF. ALUGUEL DE IMÓVEL ONDE FUNCIONAM PROMOTORIAS DE JUSTIÇA DA COMARCA DE VIÇOSA DO CEARÁ, CONF. CONTRATO 051/2019, REF. OUT E NOV/2025, POR ESTIMATIVA.")</f>
        <v>EMPENHO REF. ALUGUEL DE IMÓVEL ONDE FUNCIONAM PROMOTORIAS DE JUSTIÇA DA COMARCA DE VIÇOSA DO CEARÁ, CONF. CONTRATO 051/2019, REF. OUT E NOV/2025, POR ESTIMATIVA.</v>
      </c>
      <c r="F486" s="2" t="s">
        <v>31</v>
      </c>
      <c r="G486" s="5" t="str">
        <f>HYPERLINK("https://siafe.sefaz.ce.gov.br/Siafe/downloadSignature?token=c8f587dc362c4255b3fc5863fec8ae41","2025NE001577")</f>
        <v>2025NE001577</v>
      </c>
      <c r="H486" s="6">
        <v>6121.5</v>
      </c>
      <c r="I486" s="7" t="s">
        <v>98</v>
      </c>
      <c r="J486" s="10" t="s">
        <v>102</v>
      </c>
      <c r="K486" t="str">
        <f>HYPERLINK("http://www8.mpce.mp.br/Empenhos/150501/NE/2024NE000496.pdf","2024NE000496")</f>
        <v>2024NE000496</v>
      </c>
      <c r="L486" s="13">
        <v>162760</v>
      </c>
      <c r="M486" t="s">
        <v>35</v>
      </c>
      <c r="N486">
        <v>8918421000108</v>
      </c>
    </row>
    <row r="487" spans="1:14" x14ac:dyDescent="0.25">
      <c r="A487" s="12" t="s">
        <v>159</v>
      </c>
      <c r="B487" s="2" t="s">
        <v>191</v>
      </c>
      <c r="C487" s="3" t="str">
        <f>HYPERLINK("https://transparencia-area-fim.mpce.mp.br/#/consulta/processo/pastadigital/092024000240032","09.2024.00024003-2")</f>
        <v>09.2024.00024003-2</v>
      </c>
      <c r="D487" s="4">
        <v>45937</v>
      </c>
      <c r="E487" s="16" t="str">
        <f>HYPERLINK("https://www8.mpce.mp.br/Empenhos/150001/Objeto/93-2024.pdf","EMPENHO REF. ALUGUEL DE IMÓVEL ONDE FUNCIONAM PROMOTORIAS DE JUSTIÇA DA COMARCA DE IPU-CE, CONF. CONTRATO 093/2024, REF. OUT E NOV/2025, POR ESTIMATIVA.")</f>
        <v>EMPENHO REF. ALUGUEL DE IMÓVEL ONDE FUNCIONAM PROMOTORIAS DE JUSTIÇA DA COMARCA DE IPU-CE, CONF. CONTRATO 093/2024, REF. OUT E NOV/2025, POR ESTIMATIVA.</v>
      </c>
      <c r="F487" s="2" t="s">
        <v>31</v>
      </c>
      <c r="G487" s="5" t="str">
        <f>HYPERLINK("https://siafe.sefaz.ce.gov.br/Siafe/downloadSignature?token=edaf1b287bca4fafba83f86149353fe2","2025NE001578")</f>
        <v>2025NE001578</v>
      </c>
      <c r="H487" s="6">
        <v>7634</v>
      </c>
      <c r="I487" s="7" t="s">
        <v>208</v>
      </c>
      <c r="J487" s="10" t="s">
        <v>209</v>
      </c>
      <c r="K487" t="str">
        <f>HYPERLINK("http://www8.mpce.mp.br/Empenhos/150501/NE/2024NE000503.pdf","2024NE000503")</f>
        <v>2024NE000503</v>
      </c>
      <c r="L487">
        <v>83.51</v>
      </c>
      <c r="M487" t="s">
        <v>99</v>
      </c>
      <c r="N487">
        <v>20941439372</v>
      </c>
    </row>
    <row r="488" spans="1:14" x14ac:dyDescent="0.25">
      <c r="A488" s="12" t="s">
        <v>159</v>
      </c>
      <c r="B488" s="2" t="s">
        <v>191</v>
      </c>
      <c r="C488" s="3" t="str">
        <f>HYPERLINK("https://transparencia-area-fim.mpce.mp.br/#/consulta/processo/pastadigital/092024000265223","09.2024.00026522-3")</f>
        <v>09.2024.00026522-3</v>
      </c>
      <c r="D488" s="4">
        <v>45937</v>
      </c>
      <c r="E488" s="16" t="str">
        <f>HYPERLINK("https://www8.mpce.mp.br/Empenhos/150001/Objeto/91-2024.pdf","EMPENHO REF. ALUGUEL DE IMÓVEL ONDE FUNCIONAM PROMOTORIAS DE JUSTIÇA DA COMARCA DE JAGUARIBE, CONF. CONTRATO 091/2024, REF. OUT E NOV/2025, POR ESTIMATIVA.")</f>
        <v>EMPENHO REF. ALUGUEL DE IMÓVEL ONDE FUNCIONAM PROMOTORIAS DE JUSTIÇA DA COMARCA DE JAGUARIBE, CONF. CONTRATO 091/2024, REF. OUT E NOV/2025, POR ESTIMATIVA.</v>
      </c>
      <c r="F488" s="2" t="s">
        <v>31</v>
      </c>
      <c r="G488" s="5" t="str">
        <f>HYPERLINK("https://siafe.sefaz.ce.gov.br/Siafe/downloadSignature?token=3d8174b7ef9e46e2a97489530cfd1d53","2025NE001579")</f>
        <v>2025NE001579</v>
      </c>
      <c r="H488" s="6">
        <v>6000</v>
      </c>
      <c r="I488" s="7" t="s">
        <v>198</v>
      </c>
      <c r="J488" s="10" t="s">
        <v>199</v>
      </c>
      <c r="K488" t="str">
        <f>HYPERLINK("http://www8.mpce.mp.br/Empenhos/150501/NE/2024NE000505.pdf","2024NE000505")</f>
        <v>2024NE000505</v>
      </c>
      <c r="L488" s="13">
        <v>36096.6</v>
      </c>
      <c r="M488" t="s">
        <v>56</v>
      </c>
      <c r="N488">
        <v>33372251006600</v>
      </c>
    </row>
    <row r="489" spans="1:14" x14ac:dyDescent="0.25">
      <c r="A489" s="12" t="s">
        <v>159</v>
      </c>
      <c r="B489" s="2" t="s">
        <v>191</v>
      </c>
      <c r="C489" s="3" t="str">
        <f>HYPERLINK("https://transparencia-area-fim.mpce.mp.br/#/consulta/processo/pastadigital/092022000083885","09.2022.00008388-5")</f>
        <v>09.2022.00008388-5</v>
      </c>
      <c r="D489" s="4">
        <v>45937</v>
      </c>
      <c r="E489" s="16" t="str">
        <f>HYPERLINK("https://www8.mpce.mp.br/Empenhos/150001/Objeto/36-2023.pdf","EMPENHO REF. ALUGUEL DE IMÓVEL ONDE FUNCIONAM PROMOTORIAS DE JUSTIÇA DA COMARCA DE SOLONÓPOLE, CONF. 2º TERMO DE APOSTILAMENTO AO CONTRATO 036/2023, REF. REAJUSTE RETROATIVO - J"&amp;"UN, JUL, AGO E SET/2025.")</f>
        <v>EMPENHO REF. ALUGUEL DE IMÓVEL ONDE FUNCIONAM PROMOTORIAS DE JUSTIÇA DA COMARCA DE SOLONÓPOLE, CONF. 2º TERMO DE APOSTILAMENTO AO CONTRATO 036/2023, REF. REAJUSTE RETROATIVO - JUN, JUL, AGO E SET/2025.</v>
      </c>
      <c r="F489" s="2" t="s">
        <v>31</v>
      </c>
      <c r="G489" s="5" t="str">
        <f>HYPERLINK("https://siafe.sefaz.ce.gov.br/Siafe/downloadSignature?token=fa4b4ab30a854df3b89299e8ec81d0d1","2025NE001580")</f>
        <v>2025NE001580</v>
      </c>
      <c r="H489" s="6">
        <v>732.53</v>
      </c>
      <c r="I489" s="7" t="s">
        <v>49</v>
      </c>
      <c r="J489" s="10" t="s">
        <v>197</v>
      </c>
      <c r="K489" t="str">
        <f>HYPERLINK("http://www8.mpce.mp.br/Empenhos/150001/NE/2024NE000506.pdf","2024NE000506")</f>
        <v>2024NE000506</v>
      </c>
      <c r="L489" s="13">
        <v>6230.5</v>
      </c>
      <c r="M489" t="s">
        <v>107</v>
      </c>
      <c r="N489">
        <v>4566342000124</v>
      </c>
    </row>
    <row r="490" spans="1:14" x14ac:dyDescent="0.25">
      <c r="A490" s="12" t="s">
        <v>19</v>
      </c>
      <c r="B490" s="2" t="s">
        <v>187</v>
      </c>
      <c r="C490" s="3" t="str">
        <f>HYPERLINK("http://www8.mpce.mp.br/Dispensa/1984020196.pdf","19840/2019-6")</f>
        <v>19840/2019-6</v>
      </c>
      <c r="D490" s="4">
        <v>45937</v>
      </c>
      <c r="E490" s="16" t="str">
        <f>HYPERLINK("https://www8.mpce.mp.br/Empenhos/150001/Objeto/48-2019.pdf","EMPENHO REF. ALUGUEL DO IMÓVEL ONDE FUNCIONAM PROMOTORIAS DE JUSTIÇA DA COMARCA DE CAUCAIA, CONF. 8º TERMO DE APOSTILAMENTO AO CONTRATO 048/2019, REF. REAJUSTE RETROATIVO - JUL,"&amp;" AGO E SET/2025.")</f>
        <v>EMPENHO REF. ALUGUEL DO IMÓVEL ONDE FUNCIONAM PROMOTORIAS DE JUSTIÇA DA COMARCA DE CAUCAIA, CONF. 8º TERMO DE APOSTILAMENTO AO CONTRATO 048/2019, REF. REAJUSTE RETROATIVO - JUL, AGO E SET/2025.</v>
      </c>
      <c r="F490" s="2" t="s">
        <v>130</v>
      </c>
      <c r="G490" s="5" t="str">
        <f>HYPERLINK("https://siafe.sefaz.ce.gov.br/Siafe/downloadSignature?token=da60c4e523964ecaa4ea5f9812932232","2025NE001581")</f>
        <v>2025NE001581</v>
      </c>
      <c r="H490" s="6">
        <v>2938.4</v>
      </c>
      <c r="I490" s="7" t="s">
        <v>27</v>
      </c>
      <c r="J490" s="10" t="s">
        <v>154</v>
      </c>
      <c r="K490" t="str">
        <f>HYPERLINK("http://www8.mpce.mp.br/Empenhos/150501/NE/2024NE000506.pdf","2024NE000506")</f>
        <v>2024NE000506</v>
      </c>
      <c r="L490" s="13">
        <v>16670.400000000001</v>
      </c>
      <c r="M490" t="s">
        <v>56</v>
      </c>
      <c r="N490">
        <v>33372251006600</v>
      </c>
    </row>
    <row r="491" spans="1:14" x14ac:dyDescent="0.25">
      <c r="A491" s="12" t="s">
        <v>19</v>
      </c>
      <c r="B491" s="2" t="s">
        <v>400</v>
      </c>
      <c r="C491" s="3" t="str">
        <f>HYPERLINK("http://www8.mpce.mp.br/Dispensa/2004820193.pdf","20048/2019-3")</f>
        <v>20048/2019-3</v>
      </c>
      <c r="D491" s="4">
        <v>45937</v>
      </c>
      <c r="E491" s="16" t="str">
        <f>HYPERLINK("https://www8.mpce.mp.br/Empenhos/150001/Objeto/84-2019.pdf","EMPENHO REF. ALUGUEL DE IMÓVEL ONDE FUNCIONAM PROMOTORIAS DE JUSTIÇA DA COMARCA DE MOMBAÇA, CONF. 4º TERMO DE APOSTILAMENTO AO CONTRATO 084/2019, REF. REAJUSTE RETROATIVO - JAN "&amp;"A SET/2025.")</f>
        <v>EMPENHO REF. ALUGUEL DE IMÓVEL ONDE FUNCIONAM PROMOTORIAS DE JUSTIÇA DA COMARCA DE MOMBAÇA, CONF. 4º TERMO DE APOSTILAMENTO AO CONTRATO 084/2019, REF. REAJUSTE RETROATIVO - JAN A SET/2025.</v>
      </c>
      <c r="F491" s="2" t="s">
        <v>31</v>
      </c>
      <c r="G491" s="5" t="str">
        <f>HYPERLINK("https://siafe.sefaz.ce.gov.br/Siafe/downloadSignature?token=ed9311d9101044e1a55eeb8393960a18","2025NE001582")</f>
        <v>2025NE001582</v>
      </c>
      <c r="H491" s="6">
        <v>2279.34</v>
      </c>
      <c r="I491" s="7" t="s">
        <v>42</v>
      </c>
      <c r="J491" s="10" t="s">
        <v>184</v>
      </c>
      <c r="K491" t="str">
        <f>HYPERLINK("http://www8.mpce.mp.br/Empenhos/150001/NE/2024NE000508.pdf","2024NE000508")</f>
        <v>2024NE000508</v>
      </c>
      <c r="L491" s="13">
        <v>5400</v>
      </c>
      <c r="M491" t="s">
        <v>108</v>
      </c>
      <c r="N491">
        <v>11517150000193</v>
      </c>
    </row>
    <row r="492" spans="1:14" x14ac:dyDescent="0.25">
      <c r="A492" s="12" t="s">
        <v>19</v>
      </c>
      <c r="B492" s="2" t="s">
        <v>187</v>
      </c>
      <c r="C492" s="3" t="str">
        <f>HYPERLINK("https://transparencia-area-fim.mpce.mp.br/#/consulta/processo/pastadigital/092022000230870","09.2022.00023087-0")</f>
        <v>09.2022.00023087-0</v>
      </c>
      <c r="D492" s="4">
        <v>45937</v>
      </c>
      <c r="E492" s="16" t="str">
        <f>HYPERLINK("https://www8.mpce.mp.br/Empenhos/150001/Objeto/29-2022.pdf","EMPENHO REF. ALUGUEL DE IMÓVEL ONDE FUNCIONAM PROMOTORIAS DE JUSTIÇA DA COMARCA DE JUAZEIRO DO NORTE, CONF. 3º TERMO DE APOSTILAMENTO AO CONTRATO 029/2022, REF. REAJUSTE RETROAT"&amp;"IVO - SET/2025.")</f>
        <v>EMPENHO REF. ALUGUEL DE IMÓVEL ONDE FUNCIONAM PROMOTORIAS DE JUSTIÇA DA COMARCA DE JUAZEIRO DO NORTE, CONF. 3º TERMO DE APOSTILAMENTO AO CONTRATO 029/2022, REF. REAJUSTE RETROATIVO - SET/2025.</v>
      </c>
      <c r="F492" s="2" t="s">
        <v>130</v>
      </c>
      <c r="G492" s="5" t="str">
        <f>HYPERLINK("https://siafe.sefaz.ce.gov.br/Siafe/downloadSignature?token=52d6d430d5944d529e429f46f8dde135","2025NE001583")</f>
        <v>2025NE001583</v>
      </c>
      <c r="H492" s="6">
        <v>1762.8</v>
      </c>
      <c r="I492" s="7" t="s">
        <v>20</v>
      </c>
      <c r="J492" s="10" t="s">
        <v>138</v>
      </c>
      <c r="K492" t="str">
        <f>HYPERLINK("http://www8.mpce.mp.br/Empenhos/150501/NE/2024NE000515.pdf","2024NE000515")</f>
        <v>2024NE000515</v>
      </c>
      <c r="L492">
        <v>170.18</v>
      </c>
      <c r="M492" t="s">
        <v>98</v>
      </c>
      <c r="N492">
        <v>77748638349</v>
      </c>
    </row>
    <row r="493" spans="1:14" x14ac:dyDescent="0.25">
      <c r="A493" s="12" t="s">
        <v>19</v>
      </c>
      <c r="B493" s="2" t="s">
        <v>187</v>
      </c>
      <c r="C493" s="3" t="str">
        <f>HYPERLINK("https://transparencia-area-fim.mpce.mp.br/#/consulta/processo/pastadigital/092021000244550","09.2021.00024455-0")</f>
        <v>09.2021.00024455-0</v>
      </c>
      <c r="D493" s="4">
        <v>45937</v>
      </c>
      <c r="E493" s="16" t="str">
        <f>HYPERLINK("https://www8.mpce.mp.br/Empenhos/150001/Objeto/10-2022.pdf","EMPENHO REF. ALUGUEL DE IMÓVEL ONDE FUNCIONAM PROMOTORIAS DE JUSTIÇA DA COMARCA DE ICÓ, CONF. CONTRATO 010/2022, REF. OUT E NOV/2025, POR ESTIMATIVA.")</f>
        <v>EMPENHO REF. ALUGUEL DE IMÓVEL ONDE FUNCIONAM PROMOTORIAS DE JUSTIÇA DA COMARCA DE ICÓ, CONF. CONTRATO 010/2022, REF. OUT E NOV/2025, POR ESTIMATIVA.</v>
      </c>
      <c r="F493" s="2" t="s">
        <v>130</v>
      </c>
      <c r="G493" s="5" t="str">
        <f>HYPERLINK("https://siafe.sefaz.ce.gov.br/Siafe/downloadSignature?token=ac307915951947bfa33d9cf6b1c6d2eb","2025NE001584")</f>
        <v>2025NE001584</v>
      </c>
      <c r="H493" s="6">
        <v>28249.759999999998</v>
      </c>
      <c r="I493" s="7" t="s">
        <v>25</v>
      </c>
      <c r="J493" s="10" t="s">
        <v>148</v>
      </c>
      <c r="K493" t="str">
        <f>HYPERLINK("http://www8.mpce.mp.br/Empenhos/150501/NE/2024NE000523.pdf","2024NE000523")</f>
        <v>2024NE000523</v>
      </c>
      <c r="L493">
        <v>938.24</v>
      </c>
      <c r="M493" t="s">
        <v>37</v>
      </c>
      <c r="N493">
        <v>34123367852</v>
      </c>
    </row>
    <row r="494" spans="1:14" x14ac:dyDescent="0.25">
      <c r="A494" s="12" t="s">
        <v>19</v>
      </c>
      <c r="B494" s="2" t="s">
        <v>380</v>
      </c>
      <c r="C494" s="3" t="str">
        <f>HYPERLINK("https://transparencia-area-fim.mpce.mp.br/#/consulta/processo/pastadigital/092023000338585","09.2023.00033858-5")</f>
        <v>09.2023.00033858-5</v>
      </c>
      <c r="D494" s="4">
        <v>45937</v>
      </c>
      <c r="E494" s="16" t="str">
        <f>HYPERLINK("https://www8.mpce.mp.br/Empenhos/150001/Objeto/62-2024.pdf","EMPENHO REF. ALUGUEL DE IMÓVEL ONDE FUNCIONAM PROMOTORIAS DE JUSTIÇA DA COMARCA DE LIMOEIRO DO NORTE-CE, CONF. CONTRATO 062/2024, REF. OUT E NOV/2025, POR ESTIMATIVA.")</f>
        <v>EMPENHO REF. ALUGUEL DE IMÓVEL ONDE FUNCIONAM PROMOTORIAS DE JUSTIÇA DA COMARCA DE LIMOEIRO DO NORTE-CE, CONF. CONTRATO 062/2024, REF. OUT E NOV/2025, POR ESTIMATIVA.</v>
      </c>
      <c r="F494" s="2" t="s">
        <v>130</v>
      </c>
      <c r="G494" s="5" t="str">
        <f>HYPERLINK("https://siafe.sefaz.ce.gov.br/Siafe/downloadSignature?token=17c654bb3f394544beca9b281e148117","2025NE001585")</f>
        <v>2025NE001585</v>
      </c>
      <c r="H494" s="6">
        <v>34851.96</v>
      </c>
      <c r="I494" s="7" t="s">
        <v>23</v>
      </c>
      <c r="J494" s="10" t="s">
        <v>135</v>
      </c>
      <c r="K494" t="str">
        <f>HYPERLINK("http://www8.mpce.mp.br/Empenhos/150501/NE/2024NE000524.pdf","2024NE000524")</f>
        <v>2024NE000524</v>
      </c>
      <c r="L494" s="13">
        <v>71437.03</v>
      </c>
      <c r="M494" t="s">
        <v>51</v>
      </c>
      <c r="N494">
        <v>3773788000167</v>
      </c>
    </row>
    <row r="495" spans="1:14" x14ac:dyDescent="0.25">
      <c r="A495" s="12" t="s">
        <v>19</v>
      </c>
      <c r="B495" s="2" t="s">
        <v>187</v>
      </c>
      <c r="C495" s="3" t="str">
        <f>HYPERLINK("https://transparencia-area-fim.mpce.mp.br/#/consulta/processo/pastadigital/092023000338563","09.2023.00033856-3")</f>
        <v>09.2023.00033856-3</v>
      </c>
      <c r="D495" s="4">
        <v>45937</v>
      </c>
      <c r="E495" s="16" t="str">
        <f>HYPERLINK("https://www8.mpce.mp.br/Empenhos/150001/Objeto/01-2024.pdf","EMPENHO REF. ALUGUEL DE IMÓVEL ONDE FUNCIONAM PROMOTORIAS DE JUSTIÇA DA COMARCA DE AQUIRAZ-CE, CONF. CONTRATO 001/2024, REF. OUT E NOV/2025, POR ESTIMATIVA.")</f>
        <v>EMPENHO REF. ALUGUEL DE IMÓVEL ONDE FUNCIONAM PROMOTORIAS DE JUSTIÇA DA COMARCA DE AQUIRAZ-CE, CONF. CONTRATO 001/2024, REF. OUT E NOV/2025, POR ESTIMATIVA.</v>
      </c>
      <c r="F495" s="2" t="s">
        <v>130</v>
      </c>
      <c r="G495" s="5" t="str">
        <f>HYPERLINK("https://siafe.sefaz.ce.gov.br/Siafe/downloadSignature?token=c2c507d246f24b2494fd36f8dd17c456","2025NE001586")</f>
        <v>2025NE001586</v>
      </c>
      <c r="H495" s="6">
        <v>34464</v>
      </c>
      <c r="I495" s="7" t="s">
        <v>27</v>
      </c>
      <c r="J495" s="10" t="s">
        <v>154</v>
      </c>
      <c r="K495" t="str">
        <f>HYPERLINK("http://www8.mpce.mp.br/Empenhos/150501/NE/2024NE000524.pdf","2024NE000524")</f>
        <v>2024NE000524</v>
      </c>
      <c r="L495" s="13">
        <v>71437.03</v>
      </c>
      <c r="M495" t="s">
        <v>51</v>
      </c>
      <c r="N495">
        <v>3773788000167</v>
      </c>
    </row>
    <row r="496" spans="1:14" x14ac:dyDescent="0.25">
      <c r="A496" s="12" t="s">
        <v>19</v>
      </c>
      <c r="B496" s="2" t="s">
        <v>380</v>
      </c>
      <c r="C496" s="3" t="str">
        <f>HYPERLINK("https://transparencia-area-fim.mpce.mp.br/#/consulta/processo/pastadigital/092022000081432","09.2022.00008143-2")</f>
        <v>09.2022.00008143-2</v>
      </c>
      <c r="D496" s="4">
        <v>45937</v>
      </c>
      <c r="E496" s="16" t="str">
        <f>HYPERLINK("https://www8.mpce.mp.br/Empenhos/150001/Objeto/16-2022.pdf","EMPENHO REF. ALUGUEL DE IMÓVEL ONDE FUNCIONAM PROMOTORIAS DE JUSTIÇA DA COMARCA DE BARBALHA, CONF. CONTRATO 016/2022, REF. OUT E NOV/2025, POR ESTIMATIVA.")</f>
        <v>EMPENHO REF. ALUGUEL DE IMÓVEL ONDE FUNCIONAM PROMOTORIAS DE JUSTIÇA DA COMARCA DE BARBALHA, CONF. CONTRATO 016/2022, REF. OUT E NOV/2025, POR ESTIMATIVA.</v>
      </c>
      <c r="F496" s="2" t="s">
        <v>130</v>
      </c>
      <c r="G496" s="5" t="str">
        <f>HYPERLINK("https://siafe.sefaz.ce.gov.br/Siafe/downloadSignature?token=63e5cade864e474cb311f9c5f66cf038","2025NE001587")</f>
        <v>2025NE001587</v>
      </c>
      <c r="H496" s="6">
        <v>34686.14</v>
      </c>
      <c r="I496" s="7" t="s">
        <v>20</v>
      </c>
      <c r="J496" s="10" t="s">
        <v>138</v>
      </c>
      <c r="K496" t="str">
        <f>HYPERLINK("http://www8.mpce.mp.br/Empenhos/150501/NE/2024NE000524.pdf","2024NE000524")</f>
        <v>2024NE000524</v>
      </c>
      <c r="L496" s="13">
        <v>71437.03</v>
      </c>
      <c r="M496" t="s">
        <v>51</v>
      </c>
      <c r="N496">
        <v>3773788000167</v>
      </c>
    </row>
    <row r="497" spans="1:14" x14ac:dyDescent="0.25">
      <c r="A497" s="12" t="s">
        <v>19</v>
      </c>
      <c r="B497" s="2" t="s">
        <v>187</v>
      </c>
      <c r="C497" s="3" t="str">
        <f>HYPERLINK("https://transparencia-area-fim.mpce.mp.br/#/consulta/processo/pastadigital/092023000338541","09.2023.00033854-1")</f>
        <v>09.2023.00033854-1</v>
      </c>
      <c r="D497" s="4">
        <v>45937</v>
      </c>
      <c r="E497" s="16" t="str">
        <f>HYPERLINK("https://www8.mpce.mp.br/Empenhos/150001/Objeto/36-2024.pdf","EMPENHO REF. ALUGUEL DE IMÓVEL ONDE FUNCIONAM PROMOTORIAS DE JUSTIÇA DA COMARCA DE MORADA NOVA-CE, CONF. CONTRATO 036/2024, REF. OUT E NOV/2025, POR ESTIMATIVA.")</f>
        <v>EMPENHO REF. ALUGUEL DE IMÓVEL ONDE FUNCIONAM PROMOTORIAS DE JUSTIÇA DA COMARCA DE MORADA NOVA-CE, CONF. CONTRATO 036/2024, REF. OUT E NOV/2025, POR ESTIMATIVA.</v>
      </c>
      <c r="F497" s="2" t="s">
        <v>130</v>
      </c>
      <c r="G497" s="5" t="str">
        <f>HYPERLINK("https://siafe.sefaz.ce.gov.br/Siafe/downloadSignature?token=862b207827fe4278a49ed037b3b0c639","2025NE001588")</f>
        <v>2025NE001588</v>
      </c>
      <c r="H497" s="6">
        <v>36775</v>
      </c>
      <c r="I497" s="7" t="s">
        <v>27</v>
      </c>
      <c r="J497" s="10" t="s">
        <v>154</v>
      </c>
      <c r="K497" t="str">
        <f>HYPERLINK("http://www8.mpce.mp.br/Empenhos/150501/NE/2024NE000524.pdf","2024NE000524")</f>
        <v>2024NE000524</v>
      </c>
      <c r="L497" s="13">
        <v>71437.03</v>
      </c>
      <c r="M497" t="s">
        <v>51</v>
      </c>
      <c r="N497">
        <v>3773788000167</v>
      </c>
    </row>
    <row r="498" spans="1:14" x14ac:dyDescent="0.25">
      <c r="A498" s="12" t="s">
        <v>19</v>
      </c>
      <c r="B498" s="2" t="s">
        <v>187</v>
      </c>
      <c r="C498" s="3" t="str">
        <f>HYPERLINK("https://transparencia-area-fim.mpce.mp.br/#/consulta/processo/pastadigital/092023000338552","09.2023.00033855-2")</f>
        <v>09.2023.00033855-2</v>
      </c>
      <c r="D498" s="4">
        <v>45937</v>
      </c>
      <c r="E498" s="16" t="str">
        <f>HYPERLINK("https://www8.mpce.mp.br/Empenhos/150001/Objeto/17-2024.pdf","EMPENHO REF. ALUGUEL DE IMÓVEL ONDE FUNCIONAM PROMOTORIAS DE JUSTIÇA DA COMARCA DE MARANGUAPE, CONF. CONTRATO 017/2024, REF. OUT E NOV/2025, POR ESTIMATIVA.")</f>
        <v>EMPENHO REF. ALUGUEL DE IMÓVEL ONDE FUNCIONAM PROMOTORIAS DE JUSTIÇA DA COMARCA DE MARANGUAPE, CONF. CONTRATO 017/2024, REF. OUT E NOV/2025, POR ESTIMATIVA.</v>
      </c>
      <c r="F498" s="2" t="s">
        <v>130</v>
      </c>
      <c r="G498" s="5" t="str">
        <f>HYPERLINK("https://siafe.sefaz.ce.gov.br/Siafe/downloadSignature?token=4c61c6aa845b411dbd5e9e707270c656","2025NE001589")</f>
        <v>2025NE001589</v>
      </c>
      <c r="H498" s="6">
        <v>36000</v>
      </c>
      <c r="I498" s="7" t="s">
        <v>218</v>
      </c>
      <c r="J498" s="10" t="s">
        <v>219</v>
      </c>
      <c r="K498" t="str">
        <f>HYPERLINK("http://www8.mpce.mp.br/Empenhos/150001/NE/2024NE000528.pdf","2024NE000528")</f>
        <v>2024NE000528</v>
      </c>
      <c r="L498" s="13">
        <v>3479</v>
      </c>
      <c r="M498" t="s">
        <v>109</v>
      </c>
      <c r="N498">
        <v>51739136000159</v>
      </c>
    </row>
    <row r="499" spans="1:14" x14ac:dyDescent="0.25">
      <c r="A499" s="12" t="s">
        <v>19</v>
      </c>
      <c r="B499" s="2" t="s">
        <v>187</v>
      </c>
      <c r="C499" s="3" t="str">
        <f>HYPERLINK("https://transparencia-area-fim.mpce.mp.br/#/consulta/processo/pastadigital/092022000343818","09.2022.00034381-8")</f>
        <v>09.2022.00034381-8</v>
      </c>
      <c r="D499" s="4">
        <v>45937</v>
      </c>
      <c r="E499" s="16" t="str">
        <f>HYPERLINK("https://www8.mpce.mp.br/Empenhos/150001/Objeto/24-2023.pdf","EMPENHO REF. ALUGUEL DE IMÓVEL ONDE FUNCIONAM PROMOTORIAS DE JUSTIÇA DA COMARCA DE ITAPIPOCA, CONF. CONTRATO 024/2023, REF. OUT E NOV/2025, POR ESTIMATIVA.")</f>
        <v>EMPENHO REF. ALUGUEL DE IMÓVEL ONDE FUNCIONAM PROMOTORIAS DE JUSTIÇA DA COMARCA DE ITAPIPOCA, CONF. CONTRATO 024/2023, REF. OUT E NOV/2025, POR ESTIMATIVA.</v>
      </c>
      <c r="F499" s="2" t="s">
        <v>130</v>
      </c>
      <c r="G499" s="5" t="str">
        <f>HYPERLINK("https://siafe.sefaz.ce.gov.br/Siafe/downloadSignature?token=510eb94138bb44c78f817df9d13c488c","2025NE001590")</f>
        <v>2025NE001590</v>
      </c>
      <c r="H499" s="6">
        <v>37754.28</v>
      </c>
      <c r="I499" s="7" t="s">
        <v>79</v>
      </c>
      <c r="J499" s="10" t="s">
        <v>133</v>
      </c>
      <c r="K499" t="str">
        <f>HYPERLINK("http://www8.mpce.mp.br/Empenhos/150001/NE/2024NE000529.pdf","2024NE000529")</f>
        <v>2024NE000529</v>
      </c>
      <c r="L499" s="13">
        <v>31055</v>
      </c>
      <c r="M499" t="s">
        <v>53</v>
      </c>
      <c r="N499">
        <v>7341423000114</v>
      </c>
    </row>
    <row r="500" spans="1:14" x14ac:dyDescent="0.25">
      <c r="A500" s="12" t="s">
        <v>19</v>
      </c>
      <c r="B500" s="2" t="s">
        <v>380</v>
      </c>
      <c r="C500" s="3" t="str">
        <f>HYPERLINK("https://transparencia-area-fim.mpce.mp.br/#/consulta/processo/pastadigital/092021000244582","09.2021.00024458-2")</f>
        <v>09.2021.00024458-2</v>
      </c>
      <c r="D500" s="4">
        <v>45937</v>
      </c>
      <c r="E500" s="16" t="str">
        <f>HYPERLINK("https://www8.mpce.mp.br/Empenhos/150001/Objeto/11-2022.pdf","EMPENHO REF. ALUGUEL DE IMÓVEL ONDE FUNCIONAM PROMOTORIAS DE JUSTIÇA DA COMARCA DE ARACATI, CONF. CONTRATO 011/2022, REF. OUT E NOV/2025, POR ESTIMATIVA.")</f>
        <v>EMPENHO REF. ALUGUEL DE IMÓVEL ONDE FUNCIONAM PROMOTORIAS DE JUSTIÇA DA COMARCA DE ARACATI, CONF. CONTRATO 011/2022, REF. OUT E NOV/2025, POR ESTIMATIVA.</v>
      </c>
      <c r="F500" s="2" t="s">
        <v>130</v>
      </c>
      <c r="G500" s="5" t="str">
        <f>HYPERLINK("https://siafe.sefaz.ce.gov.br/Siafe/downloadSignature?token=b74b8950ac8d4703a4ef07f483b75a6f","2025NE001591")</f>
        <v>2025NE001591</v>
      </c>
      <c r="H500" s="6">
        <v>38797.78</v>
      </c>
      <c r="I500" s="7" t="s">
        <v>24</v>
      </c>
      <c r="J500" s="10" t="s">
        <v>146</v>
      </c>
      <c r="K500" t="str">
        <f>HYPERLINK("http://www8.mpce.mp.br/Empenhos/150501/NE/2024NE000534.pdf","2024NE000534")</f>
        <v>2024NE000534</v>
      </c>
      <c r="L500" s="13">
        <v>14000</v>
      </c>
      <c r="M500" t="s">
        <v>101</v>
      </c>
      <c r="N500">
        <v>29417319000107</v>
      </c>
    </row>
    <row r="501" spans="1:14" x14ac:dyDescent="0.25">
      <c r="A501" s="12" t="s">
        <v>19</v>
      </c>
      <c r="B501" s="2" t="s">
        <v>187</v>
      </c>
      <c r="C501" s="3" t="str">
        <f>HYPERLINK("https://transparencia-area-fim.mpce.mp.br/#/consulta/processo/pastadigital/092021000065217","09.2021.00006521-7")</f>
        <v>09.2021.00006521-7</v>
      </c>
      <c r="D501" s="4">
        <v>45937</v>
      </c>
      <c r="E501" s="16" t="str">
        <f>HYPERLINK("https://www8.mpce.mp.br/Empenhos/150001/Objeto/38-2021.pdf","EMPENHO REF. ALUGUEL DE IMÓVEL ONDE FUNCIONAM PROMOTORIAS DE JUSTIÇA DA COMARCA DE TAUÁ, CONF. CONTRATO 038/2021, REF. OUT E NOV/2025, POR ESTIMATIVA.")</f>
        <v>EMPENHO REF. ALUGUEL DE IMÓVEL ONDE FUNCIONAM PROMOTORIAS DE JUSTIÇA DA COMARCA DE TAUÁ, CONF. CONTRATO 038/2021, REF. OUT E NOV/2025, POR ESTIMATIVA.</v>
      </c>
      <c r="F501" s="2" t="s">
        <v>130</v>
      </c>
      <c r="G501" s="5" t="str">
        <f>HYPERLINK("https://siafe.sefaz.ce.gov.br/Siafe/downloadSignature?token=6775b34899924094812b51ff91f774e9","2025NE001594")</f>
        <v>2025NE001594</v>
      </c>
      <c r="H501" s="6">
        <v>39009.599999999999</v>
      </c>
      <c r="I501" s="7" t="s">
        <v>26</v>
      </c>
      <c r="J501" s="10" t="s">
        <v>151</v>
      </c>
      <c r="K501" t="str">
        <f>HYPERLINK("http://www8.mpce.mp.br/Empenhos/150501/NE/2024NE000535.pdf","2024NE000535")</f>
        <v>2024NE000535</v>
      </c>
      <c r="L501" s="13">
        <v>13200</v>
      </c>
      <c r="M501" t="s">
        <v>55</v>
      </c>
      <c r="N501">
        <v>44231385000173</v>
      </c>
    </row>
    <row r="502" spans="1:14" x14ac:dyDescent="0.25">
      <c r="A502" s="12" t="s">
        <v>159</v>
      </c>
      <c r="B502" s="2" t="s">
        <v>191</v>
      </c>
      <c r="C502" s="3" t="str">
        <f>HYPERLINK("https://transparencia-area-fim.mpce.mp.br/#/consulta/processo/pastadigital/092023000293915","09.2023.00029391-5")</f>
        <v>09.2023.00029391-5</v>
      </c>
      <c r="D502" s="4">
        <v>45937</v>
      </c>
      <c r="E502" s="16" t="str">
        <f>HYPERLINK("https://www8.mpce.mp.br/Empenhos/150001/Objeto/54-2023.pdf","EMPENHO REF. ALUGUEL DE IMÓVEL ONDE FUNCIONA GALPÃO DO ALMOXARIFADO E PATRIMÔNIO DA PGJ, CONF. CONTRATO 054/2023, REF. OUT E NOV/2025, POR ESTIMATIVA.")</f>
        <v>EMPENHO REF. ALUGUEL DE IMÓVEL ONDE FUNCIONA GALPÃO DO ALMOXARIFADO E PATRIMÔNIO DA PGJ, CONF. CONTRATO 054/2023, REF. OUT E NOV/2025, POR ESTIMATIVA.</v>
      </c>
      <c r="F502" s="2" t="s">
        <v>130</v>
      </c>
      <c r="G502" s="5" t="str">
        <f>HYPERLINK("https://siafe.sefaz.ce.gov.br/Siafe/downloadSignature?token=57ed566ce3984d84b7a472a723607e0e","2025NE001595")</f>
        <v>2025NE001595</v>
      </c>
      <c r="H502" s="6">
        <v>45946.879999999997</v>
      </c>
      <c r="I502" s="7" t="s">
        <v>30</v>
      </c>
      <c r="J502" s="10" t="s">
        <v>161</v>
      </c>
      <c r="K502" t="str">
        <f>HYPERLINK("http://www8.mpce.mp.br/Empenhos/150501/NE/2024NE000536.pdf","2024NE000536")</f>
        <v>2024NE000536</v>
      </c>
      <c r="L502" s="13">
        <v>18000</v>
      </c>
      <c r="M502" t="s">
        <v>79</v>
      </c>
      <c r="N502">
        <v>48444032000102</v>
      </c>
    </row>
    <row r="503" spans="1:14" x14ac:dyDescent="0.25">
      <c r="A503" s="12" t="s">
        <v>19</v>
      </c>
      <c r="B503" s="2" t="s">
        <v>187</v>
      </c>
      <c r="C503" s="3" t="str">
        <f>HYPERLINK("http://www8.mpce.mp.br/Dispensa/4793720162.pdf","4793720162")</f>
        <v>4793720162</v>
      </c>
      <c r="D503" s="4">
        <v>45937</v>
      </c>
      <c r="E503" s="16" t="str">
        <f>HYPERLINK("https://www8.mpce.mp.br/Empenhos/150001/Objeto/14-2017.pdf","EMPENHO REF. ALUGUEL DE IMÓVEL ONDE FUNCIONA GALPÃO DO ALMOXARIFADO E PATRIMÔNIO DA PGJ, CONF. CONTRATO 014/2017, REF. OUT E NOV/2025, POR ESTIMATIVA.")</f>
        <v>EMPENHO REF. ALUGUEL DE IMÓVEL ONDE FUNCIONA GALPÃO DO ALMOXARIFADO E PATRIMÔNIO DA PGJ, CONF. CONTRATO 014/2017, REF. OUT E NOV/2025, POR ESTIMATIVA.</v>
      </c>
      <c r="F503" s="2" t="s">
        <v>130</v>
      </c>
      <c r="G503" s="5" t="str">
        <f>HYPERLINK("https://siafe.sefaz.ce.gov.br/Siafe/downloadSignature?token=1da2d145d24b4e6da099f730a3e6a1f4","2025NE001596")</f>
        <v>2025NE001596</v>
      </c>
      <c r="H503" s="6">
        <v>44286.96</v>
      </c>
      <c r="I503" s="7" t="s">
        <v>30</v>
      </c>
      <c r="J503" s="10" t="s">
        <v>161</v>
      </c>
      <c r="K503" t="str">
        <f>HYPERLINK("http://www8.mpce.mp.br/Empenhos/150501/NE/2024NE000537.pdf","2024NE000537")</f>
        <v>2024NE000537</v>
      </c>
      <c r="L503" s="13">
        <v>14180</v>
      </c>
      <c r="M503" t="s">
        <v>23</v>
      </c>
      <c r="N503">
        <v>32697604000125</v>
      </c>
    </row>
    <row r="504" spans="1:14" x14ac:dyDescent="0.25">
      <c r="A504" s="12" t="s">
        <v>19</v>
      </c>
      <c r="B504" s="2" t="s">
        <v>187</v>
      </c>
      <c r="C504" s="3" t="str">
        <f>HYPERLINK("https://transparencia-area-fim.mpce.mp.br/#/consulta/processo/pastadigital/092021000079244","09.2021.00007924-4")</f>
        <v>09.2021.00007924-4</v>
      </c>
      <c r="D504" s="4">
        <v>45937</v>
      </c>
      <c r="E504" s="16" t="str">
        <f>HYPERLINK("https://www8.mpce.mp.br/Empenhos/150001/Objeto/27-2021.pdf","EMPENHO REF. ALUGUEL IMÓVEL ONDE FUNCIONAM PROMOTORIAS DE JUSTIÇA DA COMARCA DE EUSÉBIO, CONF. CONTRATO 027/2021, REF. OUT E NOV/2025, POR ESTIMATIVA.")</f>
        <v>EMPENHO REF. ALUGUEL IMÓVEL ONDE FUNCIONAM PROMOTORIAS DE JUSTIÇA DA COMARCA DE EUSÉBIO, CONF. CONTRATO 027/2021, REF. OUT E NOV/2025, POR ESTIMATIVA.</v>
      </c>
      <c r="F504" s="2" t="s">
        <v>130</v>
      </c>
      <c r="G504" s="5" t="str">
        <f>HYPERLINK("https://siafe.sefaz.ce.gov.br/Siafe/downloadSignature?token=8ca4e30231aa4b559ee62bd7477ac642","2025NE001597")</f>
        <v>2025NE001597</v>
      </c>
      <c r="H504" s="6">
        <v>11362.8</v>
      </c>
      <c r="I504" s="7" t="s">
        <v>43</v>
      </c>
      <c r="J504" s="10" t="s">
        <v>186</v>
      </c>
      <c r="K504" t="str">
        <f>HYPERLINK("http://www8.mpce.mp.br/Empenhos/150501/NE/2024NE000538.pdf","2024NE000538")</f>
        <v>2024NE000538</v>
      </c>
      <c r="L504" s="13">
        <v>13612</v>
      </c>
      <c r="M504" t="s">
        <v>23</v>
      </c>
      <c r="N504">
        <v>32697604000125</v>
      </c>
    </row>
    <row r="505" spans="1:14" x14ac:dyDescent="0.25">
      <c r="A505" s="12" t="s">
        <v>19</v>
      </c>
      <c r="B505" s="2" t="s">
        <v>187</v>
      </c>
      <c r="C505" s="3" t="str">
        <f>HYPERLINK("https://transparencia-area-fim.mpce.mp.br/#/consulta/processo/pastadigital/092021000079244","09.2021.00007924-4")</f>
        <v>09.2021.00007924-4</v>
      </c>
      <c r="D505" s="4">
        <v>45937</v>
      </c>
      <c r="E505" s="16" t="str">
        <f>HYPERLINK("https://www8.mpce.mp.br/Empenhos/150001/Objeto/27-2021.pdf","EMPENHO REF. TAXAS CONDOMINIAIS IMÓVEL ONDE FUNCIONAM PROMOTORIAS DE JUSTIÇA DA COMARCA DE EUSÉBIO, CONF. CONTRATO 027/2021, REF. OUT E NOV/2025, POR ESTIMATIVA.")</f>
        <v>EMPENHO REF. TAXAS CONDOMINIAIS IMÓVEL ONDE FUNCIONAM PROMOTORIAS DE JUSTIÇA DA COMARCA DE EUSÉBIO, CONF. CONTRATO 027/2021, REF. OUT E NOV/2025, POR ESTIMATIVA.</v>
      </c>
      <c r="F505" s="2" t="s">
        <v>189</v>
      </c>
      <c r="G505" s="5" t="str">
        <f>HYPERLINK("https://siafe.sefaz.ce.gov.br/Siafe/downloadSignature?token=3d4fb601293b453bbd6b57b0d30e6111","2025NE001598")</f>
        <v>2025NE001598</v>
      </c>
      <c r="H505" s="6">
        <v>3377.16</v>
      </c>
      <c r="I505" s="7" t="s">
        <v>43</v>
      </c>
      <c r="J505" s="10" t="s">
        <v>186</v>
      </c>
      <c r="K505" t="str">
        <f>HYPERLINK("http://www8.mpce.mp.br/Empenhos/150501/NE/2024NE000539.pdf","2024NE000539")</f>
        <v>2024NE000539</v>
      </c>
      <c r="L505" s="13">
        <v>66161.41</v>
      </c>
      <c r="M505" t="s">
        <v>20</v>
      </c>
      <c r="N505">
        <v>11710431000168</v>
      </c>
    </row>
    <row r="506" spans="1:14" x14ac:dyDescent="0.25">
      <c r="A506" s="12" t="s">
        <v>19</v>
      </c>
      <c r="B506" s="2" t="s">
        <v>187</v>
      </c>
      <c r="C506" s="3" t="str">
        <f>HYPERLINK("https://transparencia-area-fim.mpce.mp.br/#/consulta/processo/pastadigital/092021000219739","09.2021.00021973-9")</f>
        <v>09.2021.00021973-9</v>
      </c>
      <c r="D506" s="4">
        <v>45937</v>
      </c>
      <c r="E506" s="16" t="str">
        <f>HYPERLINK("https://www8.mpce.mp.br/Empenhos/150001/Objeto/45-2021.pdf","EMPENHO REF. TAXAS CONDOMINIAIS IMÓVEL ONDE FUNCIONAM PROMOTORIAS DE JUSTIÇA DA COMARCA DE EUSÉBIO, CONF. CONTRATO 045/2021, REF. OUT E NOV/2025, POR ESTIMATIVA.")</f>
        <v>EMPENHO REF. TAXAS CONDOMINIAIS IMÓVEL ONDE FUNCIONAM PROMOTORIAS DE JUSTIÇA DA COMARCA DE EUSÉBIO, CONF. CONTRATO 045/2021, REF. OUT E NOV/2025, POR ESTIMATIVA.</v>
      </c>
      <c r="F506" s="2" t="s">
        <v>189</v>
      </c>
      <c r="G506" s="5" t="str">
        <f>HYPERLINK("https://siafe.sefaz.ce.gov.br/Siafe/downloadSignature?token=22e659ef91744535a68d97fc8735dc82","2025NE001599")</f>
        <v>2025NE001599</v>
      </c>
      <c r="H506" s="6">
        <v>1049.76</v>
      </c>
      <c r="I506" s="7" t="s">
        <v>43</v>
      </c>
      <c r="J506" s="10" t="s">
        <v>186</v>
      </c>
      <c r="K506" t="str">
        <f>HYPERLINK("http://www8.mpce.mp.br/Empenhos/150501/NE/2024NE000540.pdf","2024NE000540")</f>
        <v>2024NE000540</v>
      </c>
      <c r="L506" s="13">
        <v>26000.1</v>
      </c>
      <c r="M506" t="s">
        <v>21</v>
      </c>
      <c r="N506">
        <v>44114554000195</v>
      </c>
    </row>
    <row r="507" spans="1:14" x14ac:dyDescent="0.25">
      <c r="A507" s="12" t="s">
        <v>19</v>
      </c>
      <c r="B507" s="2" t="s">
        <v>187</v>
      </c>
      <c r="C507" s="3" t="str">
        <f>HYPERLINK("https://transparencia-area-fim.mpce.mp.br/#/consulta/processo/pastadigital/092021000244271","09.2021.00024427-1")</f>
        <v>09.2021.00024427-1</v>
      </c>
      <c r="D507" s="4">
        <v>45937</v>
      </c>
      <c r="E507" s="16" t="str">
        <f>HYPERLINK("https://www8.mpce.mp.br/Empenhos/150001/Objeto/17-2022.pdf","EMPENHO REF. ALUGUEL DE IMÓVEL ONDE FUNCIONAM PROMOTORIAS DE JUSTIÇA DA COMARCA DE TIANGUÁ, CONF. CONTRATO 017/2022, REF. OUT E NOV/2025, POR ESTIMATIVA.")</f>
        <v>EMPENHO REF. ALUGUEL DE IMÓVEL ONDE FUNCIONAM PROMOTORIAS DE JUSTIÇA DA COMARCA DE TIANGUÁ, CONF. CONTRATO 017/2022, REF. OUT E NOV/2025, POR ESTIMATIVA.</v>
      </c>
      <c r="F507" s="2" t="s">
        <v>130</v>
      </c>
      <c r="G507" s="5" t="str">
        <f>HYPERLINK("https://siafe.sefaz.ce.gov.br/Siafe/downloadSignature?token=b2c077c0fb5c481b9d57ffa0036a4127","2025NE001600")</f>
        <v>2025NE001600</v>
      </c>
      <c r="H507" s="6">
        <v>52000</v>
      </c>
      <c r="I507" s="7" t="s">
        <v>22</v>
      </c>
      <c r="J507" s="10" t="s">
        <v>142</v>
      </c>
      <c r="K507" t="str">
        <f>HYPERLINK("http://www8.mpce.mp.br/Empenhos/150501/NE/2024NE000541.pdf","2024NE000541")</f>
        <v>2024NE000541</v>
      </c>
      <c r="L507" s="13">
        <v>16434.259999999998</v>
      </c>
      <c r="M507" t="s">
        <v>20</v>
      </c>
      <c r="N507">
        <v>11710431000168</v>
      </c>
    </row>
    <row r="508" spans="1:14" x14ac:dyDescent="0.25">
      <c r="A508" s="12" t="s">
        <v>159</v>
      </c>
      <c r="B508" s="2" t="s">
        <v>258</v>
      </c>
      <c r="C508" s="3" t="str">
        <f>HYPERLINK("https://transparencia-area-fim.mpce.mp.br/#/consulta/processo/pastadigital/092025000282659","09.2025.00028265-9")</f>
        <v>09.2025.00028265-9</v>
      </c>
      <c r="D508" s="4">
        <v>45943</v>
      </c>
      <c r="E508" s="16" t="s">
        <v>724</v>
      </c>
      <c r="F508" s="2" t="s">
        <v>731</v>
      </c>
      <c r="G508" s="5" t="str">
        <f>HYPERLINK("https://siafe.sefaz.ce.gov.br/Siafe/downloadSignature?token=688ed90f7a2945ca97c281d9e1d9327b","2025NE001609")</f>
        <v>2025NE001609</v>
      </c>
      <c r="H508" s="6">
        <v>386.76</v>
      </c>
      <c r="I508" s="7" t="s">
        <v>82</v>
      </c>
      <c r="J508" s="10" t="s">
        <v>299</v>
      </c>
      <c r="K508" t="str">
        <f>HYPERLINK("http://www8.mpce.mp.br/Empenhos/150501/NE/2024NE000542.pdf","2024NE000542")</f>
        <v>2024NE000542</v>
      </c>
      <c r="L508" s="13">
        <v>26000</v>
      </c>
      <c r="M508" t="s">
        <v>22</v>
      </c>
      <c r="N508">
        <v>14763826000117</v>
      </c>
    </row>
    <row r="509" spans="1:14" x14ac:dyDescent="0.25">
      <c r="A509" s="12" t="s">
        <v>159</v>
      </c>
      <c r="B509" s="2" t="s">
        <v>258</v>
      </c>
      <c r="C509" s="3" t="str">
        <f>HYPERLINK("https://transparencia-area-fim.mpce.mp.br/#/consulta/processo/pastadigital/092025000282660","09.2025.00028266-0")</f>
        <v>09.2025.00028266-0</v>
      </c>
      <c r="D509" s="4">
        <v>45943</v>
      </c>
      <c r="E509" s="16" t="s">
        <v>724</v>
      </c>
      <c r="F509" s="2" t="s">
        <v>255</v>
      </c>
      <c r="G509" s="5" t="str">
        <f>HYPERLINK("https://siafe.sefaz.ce.gov.br/Siafe/downloadSignature?token=c294ce263d7f45dc821da073ea5ea66d","2025NE001610")</f>
        <v>2025NE001610</v>
      </c>
      <c r="H509" s="6">
        <v>278.85000000000002</v>
      </c>
      <c r="I509" s="7" t="s">
        <v>61</v>
      </c>
      <c r="J509" s="10" t="s">
        <v>256</v>
      </c>
      <c r="K509" t="str">
        <f>HYPERLINK("http://www8.mpce.mp.br/Empenhos/150501/NE/2024NE000543.pdf","2024NE000543")</f>
        <v>2024NE000543</v>
      </c>
      <c r="L509" s="13">
        <v>33000</v>
      </c>
      <c r="M509" t="s">
        <v>60</v>
      </c>
      <c r="N509">
        <v>10489713000114</v>
      </c>
    </row>
    <row r="510" spans="1:14" x14ac:dyDescent="0.25">
      <c r="A510" s="12" t="s">
        <v>159</v>
      </c>
      <c r="B510" s="2" t="s">
        <v>258</v>
      </c>
      <c r="C510" s="3" t="str">
        <f>HYPERLINK("https://transparencia-area-fim.mpce.mp.br/#/consulta/processo/pastadigital/092025000282681","09.2025.00028268-1")</f>
        <v>09.2025.00028268-1</v>
      </c>
      <c r="D510" s="4">
        <v>45943</v>
      </c>
      <c r="E510" s="16" t="s">
        <v>732</v>
      </c>
      <c r="F510" s="2" t="s">
        <v>255</v>
      </c>
      <c r="G510" s="5" t="str">
        <f>HYPERLINK("https://siafe.sefaz.ce.gov.br/Siafe/downloadSignature?token=d2bd43bef9654b8bba7baf29dd8e9ca5","2025NE001611")</f>
        <v>2025NE001611</v>
      </c>
      <c r="H510" s="6">
        <v>81.03</v>
      </c>
      <c r="I510" s="7" t="s">
        <v>621</v>
      </c>
      <c r="J510" s="10" t="s">
        <v>622</v>
      </c>
      <c r="K510" t="str">
        <f>HYPERLINK("http://www8.mpce.mp.br/Empenhos/150501/NE/2024NE000544.pdf","2024NE000544")</f>
        <v>2024NE000544</v>
      </c>
      <c r="L510" s="13">
        <v>20900</v>
      </c>
      <c r="M510" t="s">
        <v>23</v>
      </c>
      <c r="N510">
        <v>32697604000125</v>
      </c>
    </row>
    <row r="511" spans="1:14" x14ac:dyDescent="0.25">
      <c r="A511" s="12" t="s">
        <v>159</v>
      </c>
      <c r="B511" s="2" t="s">
        <v>258</v>
      </c>
      <c r="C511" s="3" t="str">
        <f>HYPERLINK("https://transparencia-area-fim.mpce.mp.br/#/consulta/processo/pastadigital/092025000282726","09.2025.00028272-6")</f>
        <v>09.2025.00028272-6</v>
      </c>
      <c r="D511" s="4">
        <v>45943</v>
      </c>
      <c r="E511" s="16" t="s">
        <v>733</v>
      </c>
      <c r="F511" s="2" t="s">
        <v>255</v>
      </c>
      <c r="G511" s="5" t="str">
        <f>HYPERLINK("https://siafe.sefaz.ce.gov.br/Siafe/downloadSignature?token=2beeb23f02af4be3ac7659f4a1391fc7","2025NE001612")</f>
        <v>2025NE001612</v>
      </c>
      <c r="H511" s="6">
        <v>612.6</v>
      </c>
      <c r="I511" s="7" t="s">
        <v>64</v>
      </c>
      <c r="J511" s="10" t="s">
        <v>260</v>
      </c>
      <c r="K511" t="str">
        <f>HYPERLINK("http://www8.mpce.mp.br/Empenhos/150501/NE/2024NE000546.pdf","2024NE000546")</f>
        <v>2024NE000546</v>
      </c>
      <c r="L511" s="13">
        <v>18465</v>
      </c>
      <c r="M511" t="s">
        <v>24</v>
      </c>
      <c r="N511">
        <v>7936046000166</v>
      </c>
    </row>
    <row r="512" spans="1:14" x14ac:dyDescent="0.25">
      <c r="A512" s="12" t="s">
        <v>159</v>
      </c>
      <c r="B512" s="2" t="s">
        <v>258</v>
      </c>
      <c r="C512" s="3" t="str">
        <f>HYPERLINK("https://transparencia-area-fim.mpce.mp.br/#/consulta/processo/pastadigital/092025000282760","09.2025.00028276-0")</f>
        <v>09.2025.00028276-0</v>
      </c>
      <c r="D512" s="4">
        <v>45943</v>
      </c>
      <c r="E512" s="16" t="s">
        <v>734</v>
      </c>
      <c r="F512" s="2" t="s">
        <v>255</v>
      </c>
      <c r="G512" s="5" t="str">
        <f>HYPERLINK("https://siafe.sefaz.ce.gov.br/Siafe/downloadSignature?token=ecd907b2ed4d4d218a8542b89748a497","2025NE001614")</f>
        <v>2025NE001614</v>
      </c>
      <c r="H512" s="6">
        <v>150</v>
      </c>
      <c r="I512" s="7" t="s">
        <v>67</v>
      </c>
      <c r="J512" s="10" t="s">
        <v>267</v>
      </c>
      <c r="K512" t="str">
        <f>HYPERLINK("http://www8.mpce.mp.br/Empenhos/150501/NE/2024NE000547.pdf","2024NE000547")</f>
        <v>2024NE000547</v>
      </c>
      <c r="L512" s="13">
        <v>13486.5</v>
      </c>
      <c r="M512" t="s">
        <v>25</v>
      </c>
      <c r="N512">
        <v>53820857000114</v>
      </c>
    </row>
    <row r="513" spans="1:14" x14ac:dyDescent="0.25">
      <c r="A513" s="12" t="s">
        <v>19</v>
      </c>
      <c r="B513" s="2" t="s">
        <v>187</v>
      </c>
      <c r="C513" s="3" t="str">
        <f>HYPERLINK("https://transparencia-area-fim.mpce.mp.br/#/consulta/processo/pastadigital/092021000244282","09.2021.00024428-2")</f>
        <v>09.2021.00024428-2</v>
      </c>
      <c r="D513" s="4">
        <v>45940</v>
      </c>
      <c r="E513" s="16" t="str">
        <f>HYPERLINK("https://www8.mpce.mp.br/Empenhos/150001/Objeto/18-2022.pdf","EMPENHO REF. ALUGUEL DE IMÓVEL ONDE FUNCIONAM PROMOTORIAS DE JUSTIÇA DA COMARCA DE CRATEÚS, CONF. CONTRATO 018/2022, REF. OUT E NOV/2025, POR ESTIMATIVA.")</f>
        <v>EMPENHO REF. ALUGUEL DE IMÓVEL ONDE FUNCIONAM PROMOTORIAS DE JUSTIÇA DA COMARCA DE CRATEÚS, CONF. CONTRATO 018/2022, REF. OUT E NOV/2025, POR ESTIMATIVA.</v>
      </c>
      <c r="F513" s="2" t="s">
        <v>130</v>
      </c>
      <c r="G513" s="5" t="str">
        <f>HYPERLINK("https://siafe.sefaz.ce.gov.br/Siafe/downloadSignature?token=2fb3a781c94a492a9edaae17ecdb1c2b","2025NE001625")</f>
        <v>2025NE001625</v>
      </c>
      <c r="H513" s="6">
        <v>53540</v>
      </c>
      <c r="I513" s="7" t="s">
        <v>21</v>
      </c>
      <c r="J513" s="10" t="s">
        <v>140</v>
      </c>
      <c r="K513" t="str">
        <f>HYPERLINK("http://www8.mpce.mp.br/Empenhos/150501/NE/2024NE000548.pdf","2024NE000548")</f>
        <v>2024NE000548</v>
      </c>
      <c r="L513" s="13">
        <v>18900</v>
      </c>
      <c r="M513" t="s">
        <v>23</v>
      </c>
      <c r="N513">
        <v>32697604000125</v>
      </c>
    </row>
    <row r="514" spans="1:14" x14ac:dyDescent="0.25">
      <c r="A514" s="12" t="s">
        <v>159</v>
      </c>
      <c r="B514" s="2" t="s">
        <v>253</v>
      </c>
      <c r="C514" s="3" t="str">
        <f>HYPERLINK("https://transparencia-area-fim.mpce.mp.br/#/consulta/processo/pastadigital/092021000000456","09.2021.00000045-6")</f>
        <v>09.2021.00000045-6</v>
      </c>
      <c r="D514" s="4">
        <v>45940</v>
      </c>
      <c r="E514" s="16" t="str">
        <f>HYPERLINK("https://www8.mpce.mp.br/Empenhos/150001/Objeto/02-2021.pdf","EMPENHO REF. SUPORTE TÉCNICO DA SOLUÇÃO GUARDIÃO WEB-BY NGC, CONF. CONTRATO 002/2021, REF. OUT E NOV/2025, POR ESTIMATIVA.")</f>
        <v>EMPENHO REF. SUPORTE TÉCNICO DA SOLUÇÃO GUARDIÃO WEB-BY NGC, CONF. CONTRATO 002/2021, REF. OUT E NOV/2025, POR ESTIMATIVA.</v>
      </c>
      <c r="F514" s="2" t="s">
        <v>248</v>
      </c>
      <c r="G514" s="5" t="str">
        <f>HYPERLINK("https://siafe.sefaz.ce.gov.br/Siafe/downloadSignature?token=fa976a4e5cd844fe8b6df6d9259b1cd2","2025NE001630")</f>
        <v>2025NE001630</v>
      </c>
      <c r="H514" s="6">
        <v>43568</v>
      </c>
      <c r="I514" s="7" t="s">
        <v>59</v>
      </c>
      <c r="J514" s="10" t="s">
        <v>249</v>
      </c>
      <c r="K514" t="str">
        <f>HYPERLINK("http://www8.mpce.mp.br/Empenhos/150501/NE/2024NE000549.pdf","2024NE000549")</f>
        <v>2024NE000549</v>
      </c>
      <c r="L514" s="13">
        <v>33400.11</v>
      </c>
      <c r="M514" t="s">
        <v>21</v>
      </c>
      <c r="N514">
        <v>44114554000195</v>
      </c>
    </row>
    <row r="515" spans="1:14" x14ac:dyDescent="0.25">
      <c r="A515" s="12" t="s">
        <v>19</v>
      </c>
      <c r="B515" s="2" t="s">
        <v>515</v>
      </c>
      <c r="C515" s="3" t="str">
        <f>HYPERLINK("https://transparencia-area-fim.mpce.mp.br/#/consulta/processo/pastadigital/092021000047808","09.2021.00004780-8")</f>
        <v>09.2021.00004780-8</v>
      </c>
      <c r="D515" s="4">
        <v>45943</v>
      </c>
      <c r="E515" s="16" t="str">
        <f>HYPERLINK("https://www8.mpce.mp.br/Empenhos/150001/Objeto/25-2021.pdf","EMPENHO REF. ALUGUEL DE IMÓVEL ONDE FUNCIONAM AS PROMOTORIAS DE JUSTIÇA DA COMARCA DE ALTO SANTO, CONF. CONTRATO 025/2021, REF. OUT E NOV/2025, POR ESTIMATIVA.")</f>
        <v>EMPENHO REF. ALUGUEL DE IMÓVEL ONDE FUNCIONAM AS PROMOTORIAS DE JUSTIÇA DA COMARCA DE ALTO SANTO, CONF. CONTRATO 025/2021, REF. OUT E NOV/2025, POR ESTIMATIVA.</v>
      </c>
      <c r="F515" s="2" t="s">
        <v>31</v>
      </c>
      <c r="G515" s="5" t="str">
        <f>HYPERLINK("https://siafe.sefaz.ce.gov.br/Siafe/downloadSignature?token=9f5381105f0247688b8cbdfc4538e484","2025NE001633")</f>
        <v>2025NE001633</v>
      </c>
      <c r="H515" s="6">
        <v>3302.3</v>
      </c>
      <c r="I515" s="7" t="s">
        <v>735</v>
      </c>
      <c r="J515" s="10" t="s">
        <v>736</v>
      </c>
      <c r="K515" t="str">
        <f>HYPERLINK("http://www8.mpce.mp.br/Empenhos/150501/NE/2024NE000550.pdf","2024NE000550")</f>
        <v>2024NE000550</v>
      </c>
      <c r="L515" s="13">
        <v>24300</v>
      </c>
      <c r="M515" t="s">
        <v>110</v>
      </c>
      <c r="N515">
        <v>35076587000105</v>
      </c>
    </row>
    <row r="516" spans="1:14" x14ac:dyDescent="0.25">
      <c r="A516" s="12" t="s">
        <v>19</v>
      </c>
      <c r="B516" s="2" t="s">
        <v>187</v>
      </c>
      <c r="C516" s="3" t="str">
        <f>HYPERLINK("https://transparencia-area-fim.mpce.mp.br/#/consulta/processo/pastadigital/092025000264361","09.2025.00026436-1")</f>
        <v>09.2025.00026436-1</v>
      </c>
      <c r="D516" s="4">
        <v>45944</v>
      </c>
      <c r="E516" s="16" t="str">
        <f>HYPERLINK("https://www8.mpce.mp.br/Empenhos/150001/Objeto/16-2017.pdf","EMPENHO REF. ALUGUEL DE IMÓVEL ONDE FUNCIONA SEDE DE PROMOTORIAS DE JUSTIÇA CRIMINAIS DA COMARCA DE FORTALEZA, CONF. CONTRATO 016/2017, REF. OUT E NOV/2025, POR ESTIMATIVA.")</f>
        <v>EMPENHO REF. ALUGUEL DE IMÓVEL ONDE FUNCIONA SEDE DE PROMOTORIAS DE JUSTIÇA CRIMINAIS DA COMARCA DE FORTALEZA, CONF. CONTRATO 016/2017, REF. OUT E NOV/2025, POR ESTIMATIVA.</v>
      </c>
      <c r="F516" s="2" t="s">
        <v>130</v>
      </c>
      <c r="G516" s="5" t="str">
        <f>HYPERLINK("https://siafe.sefaz.ce.gov.br/Siafe/downloadSignature?token=a69ea863bbb349f1b14d9ea52c9b9dd8","2025NE001635")</f>
        <v>2025NE001635</v>
      </c>
      <c r="H516" s="6">
        <v>122840.44</v>
      </c>
      <c r="I516" s="7" t="s">
        <v>29</v>
      </c>
      <c r="J516" s="10" t="s">
        <v>158</v>
      </c>
      <c r="K516" t="str">
        <f>HYPERLINK("http://www8.mpce.mp.br/Empenhos/150501/NE/2024NE000550.pdf","2024NE000550")</f>
        <v>2024NE000550</v>
      </c>
      <c r="L516" s="13">
        <v>24300</v>
      </c>
      <c r="M516" t="s">
        <v>110</v>
      </c>
      <c r="N516">
        <v>35076587000105</v>
      </c>
    </row>
    <row r="517" spans="1:14" x14ac:dyDescent="0.25">
      <c r="A517" s="12" t="s">
        <v>159</v>
      </c>
      <c r="B517" s="2" t="s">
        <v>466</v>
      </c>
      <c r="C517" s="3" t="str">
        <f>HYPERLINK("https://transparencia-area-fim.mpce.mp.br/#/consulta/processo/pastadigital/092025000279465","09.2025.00027946-5")</f>
        <v>09.2025.00027946-5</v>
      </c>
      <c r="D517" s="4">
        <v>45943</v>
      </c>
      <c r="E517" s="16" t="s">
        <v>737</v>
      </c>
      <c r="F517" s="2" t="s">
        <v>221</v>
      </c>
      <c r="G517" s="5" t="str">
        <f>HYPERLINK("https://siafe.sefaz.ce.gov.br/Siafe/downloadSignature?token=f9f741bc2e314494a521519aeb4cfda6","2025NE001639")</f>
        <v>2025NE001639</v>
      </c>
      <c r="H517" s="6">
        <v>9494</v>
      </c>
      <c r="I517" s="7" t="s">
        <v>738</v>
      </c>
      <c r="J517" s="10" t="s">
        <v>739</v>
      </c>
      <c r="K517" t="str">
        <f>HYPERLINK("http://www8.mpce.mp.br/Empenhos/150501/NE/2024NE000551.pdf","2024NE000551")</f>
        <v>2024NE000551</v>
      </c>
      <c r="L517" s="13">
        <v>18000</v>
      </c>
      <c r="M517" t="s">
        <v>26</v>
      </c>
      <c r="N517">
        <v>41456187000110</v>
      </c>
    </row>
    <row r="518" spans="1:14" x14ac:dyDescent="0.25">
      <c r="A518" s="12" t="s">
        <v>159</v>
      </c>
      <c r="B518" s="2" t="s">
        <v>466</v>
      </c>
      <c r="C518" s="3" t="str">
        <f>HYPERLINK("https://transparencia-area-fim.mpce.mp.br/#/consulta/processo/pastadigital/092025000184049","09.2025.00018404-9")</f>
        <v>09.2025.00018404-9</v>
      </c>
      <c r="D518" s="4">
        <v>45943</v>
      </c>
      <c r="E518" s="16" t="s">
        <v>740</v>
      </c>
      <c r="F518" s="2" t="s">
        <v>221</v>
      </c>
      <c r="G518" s="5" t="str">
        <f>HYPERLINK("https://siafe.sefaz.ce.gov.br/Siafe/downloadSignature?token=91963ea84463412e8178877c12d53dee","2025NE001646")</f>
        <v>2025NE001646</v>
      </c>
      <c r="H518" s="6">
        <v>9380</v>
      </c>
      <c r="I518" s="7" t="s">
        <v>609</v>
      </c>
      <c r="J518" s="10" t="s">
        <v>610</v>
      </c>
      <c r="K518" t="str">
        <f>HYPERLINK("http://www8.mpce.mp.br/Empenhos/150501/NE/2024NE000552.pdf","2024NE000552")</f>
        <v>2024NE000552</v>
      </c>
      <c r="L518" s="13">
        <v>45512.77</v>
      </c>
      <c r="M518" t="s">
        <v>27</v>
      </c>
      <c r="N518">
        <v>22705562000173</v>
      </c>
    </row>
    <row r="519" spans="1:14" x14ac:dyDescent="0.25">
      <c r="A519" s="12" t="s">
        <v>159</v>
      </c>
      <c r="B519" s="2" t="s">
        <v>317</v>
      </c>
      <c r="C519" s="3" t="str">
        <f>HYPERLINK("https://transparencia-area-fim.mpce.mp.br/#/consulta/processo/pastadigital/092025000134592","09.2025.00013459-2")</f>
        <v>09.2025.00013459-2</v>
      </c>
      <c r="D519" s="4">
        <v>45831</v>
      </c>
      <c r="E519" s="17" t="s">
        <v>529</v>
      </c>
      <c r="F519" s="2" t="s">
        <v>221</v>
      </c>
      <c r="G519" s="5" t="str">
        <f>HYPERLINK("https://siafe.sefaz.ce.gov.br/Siafe/downloadSignature?token=a9c7b297898d43bd9ca9f61acea97f3b","2025NE001646")</f>
        <v>2025NE001646</v>
      </c>
      <c r="H519" s="6">
        <v>4400</v>
      </c>
      <c r="I519" s="7" t="s">
        <v>530</v>
      </c>
      <c r="J519" s="10" t="s">
        <v>531</v>
      </c>
      <c r="K519" t="str">
        <f>HYPERLINK("http://www8.mpce.mp.br/Empenhos/150501/NE/2024NE000553.pdf","2024NE000553")</f>
        <v>2024NE000553</v>
      </c>
      <c r="L519" s="13">
        <v>5600</v>
      </c>
      <c r="M519" t="s">
        <v>28</v>
      </c>
      <c r="N519">
        <v>12255352000177</v>
      </c>
    </row>
    <row r="520" spans="1:14" x14ac:dyDescent="0.25">
      <c r="A520" s="12" t="s">
        <v>19</v>
      </c>
      <c r="B520" s="2" t="s">
        <v>615</v>
      </c>
      <c r="C520" s="3" t="str">
        <f>HYPERLINK("https://transparencia-area-fim.mpce.mp.br/#/consulta/processo/pastadigital/092021000063220","09.2021.00006322-0")</f>
        <v>09.2021.00006322-0</v>
      </c>
      <c r="D520" s="4">
        <v>45944</v>
      </c>
      <c r="E520" s="17" t="str">
        <f>HYPERLINK("https://www8.mpce.mp.br/Empenhos/150001/Objeto/33-2021.pdf","	ALUGUEIS DOS IMÓVEL ONDE FUNCIONAM AS PROMOTORIAS DE JUSTIÇA DA COMARCA DE SOBRAL, POR ESTIMATIVA RELATIVOS AOS MESES DE OUT E NOV/2025, CONFORME CONTRATO 033/2021.")</f>
        <v xml:space="preserve">	ALUGUEIS DOS IMÓVEL ONDE FUNCIONAM AS PROMOTORIAS DE JUSTIÇA DA COMARCA DE SOBRAL, POR ESTIMATIVA RELATIVOS AOS MESES DE OUT E NOV/2025, CONFORME CONTRATO 033/2021.</v>
      </c>
      <c r="F520" s="2" t="s">
        <v>130</v>
      </c>
      <c r="G520" s="5" t="str">
        <f>HYPERLINK("https://siafe.sefaz.ce.gov.br/Siafe/downloadSignature?token=9f1732b1987b46c194bbc0f5def71287","2025NE001650")</f>
        <v>2025NE001650</v>
      </c>
      <c r="H520" s="6">
        <v>72533.3</v>
      </c>
      <c r="I520" s="7" t="s">
        <v>21</v>
      </c>
      <c r="J520" s="10" t="s">
        <v>140</v>
      </c>
      <c r="K520" t="str">
        <f>HYPERLINK("http://www8.mpce.mp.br/Empenhos/150501/NE/2024NE000554.pdf","2024NE000554")</f>
        <v>2024NE000554</v>
      </c>
      <c r="L520" s="13">
        <v>58910.97</v>
      </c>
      <c r="M520" t="s">
        <v>29</v>
      </c>
      <c r="N520">
        <v>5569807000163</v>
      </c>
    </row>
    <row r="521" spans="1:14" x14ac:dyDescent="0.25">
      <c r="A521" s="12" t="s">
        <v>19</v>
      </c>
      <c r="B521" s="2" t="s">
        <v>187</v>
      </c>
      <c r="C521" s="3" t="str">
        <f>HYPERLINK("http://www8.mpce.mp.br/Dispensa/1984020196.pdf","19840/2019-6")</f>
        <v>19840/2019-6</v>
      </c>
      <c r="D521" s="4">
        <v>45950</v>
      </c>
      <c r="E521" s="17" t="str">
        <f>HYPERLINK("https://www8.mpce.mp.br/Empenhos/150001/Objeto/48-2019.pdf","EMPENHO REF. ALUGUEL DE IMÓVEL ONDE FUNCIONAM PROMOTORIAS DE JUSTIÇA DA COMARCA DE CAUCAIA, CONF. CONTRATO 048/2019, REF. OUT E NOV/2025, POR ESTIMATIVA.")</f>
        <v>EMPENHO REF. ALUGUEL DE IMÓVEL ONDE FUNCIONAM PROMOTORIAS DE JUSTIÇA DA COMARCA DE CAUCAIA, CONF. CONTRATO 048/2019, REF. OUT E NOV/2025, POR ESTIMATIVA.</v>
      </c>
      <c r="F521" s="2" t="s">
        <v>130</v>
      </c>
      <c r="G521" s="5" t="str">
        <f>HYPERLINK("https://siafe.sefaz.ce.gov.br/Siafe/downloadSignature?token=4df6847f655b4f9c907b4204cde938f2","2025NE001658")</f>
        <v>2025NE001658</v>
      </c>
      <c r="H521" s="6">
        <v>97304.74</v>
      </c>
      <c r="I521" s="7" t="s">
        <v>27</v>
      </c>
      <c r="J521" s="10" t="s">
        <v>154</v>
      </c>
      <c r="K521" t="str">
        <f>HYPERLINK("http://www8.mpce.mp.br/Empenhos/150501/NE/2024NE000555.pdf","2024NE000555")</f>
        <v>2024NE000555</v>
      </c>
      <c r="L521" s="13">
        <v>22143.48</v>
      </c>
      <c r="M521" t="s">
        <v>30</v>
      </c>
      <c r="N521">
        <v>10508750000122</v>
      </c>
    </row>
    <row r="522" spans="1:14" x14ac:dyDescent="0.25">
      <c r="A522" s="12" t="s">
        <v>19</v>
      </c>
      <c r="B522" s="2" t="s">
        <v>187</v>
      </c>
      <c r="C522" s="3" t="str">
        <f>HYPERLINK("https://transparencia-area-fim.mpce.mp.br/#/consulta/processo/pastadigital/092022000230870","09.2022.00023087-0")</f>
        <v>09.2022.00023087-0</v>
      </c>
      <c r="D522" s="4">
        <v>45950</v>
      </c>
      <c r="E522" s="16" t="str">
        <f>HYPERLINK("https://www8.mpce.mp.br/Empenhos/150001/Objeto/29-2022.pdf","EMPENHO REF. ALUGUEL DE IMÓVEL ONDE FUNCIONAM PROMOTORIAS DE JUSTIÇA DA COMARCA DE JUAZEIRO DO NORTE, CONF. CONTRATO 029/2022, REF. OUT E NOV/2025.")</f>
        <v>EMPENHO REF. ALUGUEL DE IMÓVEL ONDE FUNCIONAM PROMOTORIAS DE JUSTIÇA DA COMARCA DE JUAZEIRO DO NORTE, CONF. CONTRATO 029/2022, REF. OUT E NOV/2025.</v>
      </c>
      <c r="F522" s="2" t="s">
        <v>130</v>
      </c>
      <c r="G522" s="5" t="str">
        <f>HYPERLINK("https://siafe.sefaz.ce.gov.br/Siafe/downloadSignature?token=fff1df07a62940a0ab1d19e397b2707d","2025NE001659")</f>
        <v>2025NE001659</v>
      </c>
      <c r="H522" s="6">
        <v>141435.48000000001</v>
      </c>
      <c r="I522" s="7" t="s">
        <v>20</v>
      </c>
      <c r="J522" s="10" t="s">
        <v>138</v>
      </c>
      <c r="K522" t="str">
        <f>HYPERLINK("http://www8.mpce.mp.br/Empenhos/150501/NE/2024NE000556.pdf","2024NE000556")</f>
        <v>2024NE000556</v>
      </c>
      <c r="L522" s="13">
        <v>22000</v>
      </c>
      <c r="M522" t="s">
        <v>30</v>
      </c>
      <c r="N522">
        <v>10508750000122</v>
      </c>
    </row>
    <row r="523" spans="1:14" x14ac:dyDescent="0.25">
      <c r="A523" s="12" t="s">
        <v>159</v>
      </c>
      <c r="B523" s="2" t="s">
        <v>220</v>
      </c>
      <c r="C523" s="3" t="str">
        <f>HYPERLINK("https://transparencia-area-fim.mpce.mp.br/#/consulta/processo/pastadigital/092024000189230","09.2024.00018923-0")</f>
        <v>09.2024.00018923-0</v>
      </c>
      <c r="D523" s="4">
        <v>45944</v>
      </c>
      <c r="E523" s="16" t="str">
        <f>HYPERLINK("https://www8.mpce.mp.br/Empenhos/150001/Objeto/84-2024.pdf","EMPENHO REF. FORNECIMENTO DE ENERGIA ELÉTRICA, EM BAIXA TENSÃO, A DIVERSAS UNIDADES DO MPCE, CONF. CONTRATO 084/2024, REF. OUT E NOV/2025, POR ESTIMATIVA.")</f>
        <v>EMPENHO REF. FORNECIMENTO DE ENERGIA ELÉTRICA, EM BAIXA TENSÃO, A DIVERSAS UNIDADES DO MPCE, CONF. CONTRATO 084/2024, REF. OUT E NOV/2025, POR ESTIMATIVA.</v>
      </c>
      <c r="F523" s="2" t="s">
        <v>309</v>
      </c>
      <c r="G523" s="5" t="str">
        <f>HYPERLINK("https://siafe.sefaz.ce.gov.br/Siafe/downloadSignature?token=7921269c403e4129a86c94318cc5d009","2025NE001670")</f>
        <v>2025NE001670</v>
      </c>
      <c r="H523" s="6">
        <v>200000</v>
      </c>
      <c r="I523" s="7" t="s">
        <v>310</v>
      </c>
      <c r="J523" s="10" t="s">
        <v>311</v>
      </c>
      <c r="K523" t="str">
        <f>HYPERLINK("http://www8.mpce.mp.br/Empenhos/150501/NE/2024NE000558.pdf","2024NE000558")</f>
        <v>2024NE000558</v>
      </c>
      <c r="L523" s="13">
        <v>35718.5</v>
      </c>
      <c r="M523" t="s">
        <v>51</v>
      </c>
      <c r="N523">
        <v>3773788000167</v>
      </c>
    </row>
    <row r="524" spans="1:14" x14ac:dyDescent="0.25">
      <c r="A524" s="12" t="s">
        <v>159</v>
      </c>
      <c r="B524" s="2" t="s">
        <v>466</v>
      </c>
      <c r="C524" s="3" t="str">
        <f>HYPERLINK("https://transparencia-area-fim.mpce.mp.br/#/consulta/processo/pastadigital/092024000189230","09.2024.00018923-0")</f>
        <v>09.2024.00018923-0</v>
      </c>
      <c r="D524" s="4">
        <v>45945</v>
      </c>
      <c r="E524" s="16" t="str">
        <f>HYPERLINK("https://www8.mpce.mp.br/Empenhos/150001/Objeto/99-2024.pdf","EMPENHO REF. FORNECIMENTO DE ENERGIA ELÉTRICA, ALTA TENSÃO OPTANTE PELO GRUPO B ÀS DIVERSAS UNIDADES MINISTERIAIS DA PROCURADORIA GERAL DE JUSTIÇA DO ESTADO DO CEARÁ, CONF. CONT"&amp;"RATO 099/2024, REF. OUT E NOV/2025, POR ESTIMATIVA.")</f>
        <v>EMPENHO REF. FORNECIMENTO DE ENERGIA ELÉTRICA, ALTA TENSÃO OPTANTE PELO GRUPO B ÀS DIVERSAS UNIDADES MINISTERIAIS DA PROCURADORIA GERAL DE JUSTIÇA DO ESTADO DO CEARÁ, CONF. CONTRATO 099/2024, REF. OUT E NOV/2025, POR ESTIMATIVA.</v>
      </c>
      <c r="F524" s="2" t="s">
        <v>309</v>
      </c>
      <c r="G524" s="5" t="str">
        <f>HYPERLINK("https://siafe.sefaz.ce.gov.br/Siafe/downloadSignature?token=5a5b7c175793498a85aa0d431b8cda16","2025NE001671")</f>
        <v>2025NE001671</v>
      </c>
      <c r="H524" s="6">
        <v>27000</v>
      </c>
      <c r="I524" s="7" t="s">
        <v>310</v>
      </c>
      <c r="J524" s="10" t="s">
        <v>311</v>
      </c>
      <c r="K524" t="str">
        <f>HYPERLINK("http://www8.mpce.mp.br/Empenhos/150501/NE/2024NE000558.pdf","2024NE000558")</f>
        <v>2024NE000558</v>
      </c>
      <c r="L524" s="13">
        <v>35718.5</v>
      </c>
      <c r="M524" t="s">
        <v>51</v>
      </c>
      <c r="N524">
        <v>3773788000167</v>
      </c>
    </row>
    <row r="525" spans="1:14" x14ac:dyDescent="0.25">
      <c r="A525" s="12" t="s">
        <v>159</v>
      </c>
      <c r="B525" s="2" t="s">
        <v>741</v>
      </c>
      <c r="C525" s="3" t="str">
        <f>HYPERLINK("https://transparencia-area-fim.mpce.mp.br/#/consulta/processo/pastadigital/092024000189230","09.2024.00018923-0")</f>
        <v>09.2024.00018923-0</v>
      </c>
      <c r="D525" s="4">
        <v>45945</v>
      </c>
      <c r="E525" s="16" t="str">
        <f>HYPERLINK("https://www8.mpce.mp.br/Empenhos/150001/Objeto/98-2024.pdf","EMPENHO REF. SERVIÇO DE FORNECIMENTO DE ENERGIA ELÉTRICA, EM ALTA TENSÃO A4-HORO-SAZIONAL VERDE, POR INEXIGIBILIDADE DE LICITAÇÃO, CONF. CONTRATO 098/2024, REF. OUT E NOV/2025, "&amp;"POR ESTIMATIVA.")</f>
        <v>EMPENHO REF. SERVIÇO DE FORNECIMENTO DE ENERGIA ELÉTRICA, EM ALTA TENSÃO A4-HORO-SAZIONAL VERDE, POR INEXIGIBILIDADE DE LICITAÇÃO, CONF. CONTRATO 098/2024, REF. OUT E NOV/2025, POR ESTIMATIVA.</v>
      </c>
      <c r="F525" s="2" t="s">
        <v>309</v>
      </c>
      <c r="G525" s="5" t="str">
        <f>HYPERLINK("https://siafe.sefaz.ce.gov.br/Siafe/downloadSignature?token=60efa596cf1e473fbe17c2d389f74bc9","2025NE001672")</f>
        <v>2025NE001672</v>
      </c>
      <c r="H525" s="6">
        <v>360000</v>
      </c>
      <c r="I525" s="7" t="s">
        <v>310</v>
      </c>
      <c r="J525" s="10" t="s">
        <v>311</v>
      </c>
      <c r="K525" t="str">
        <f>HYPERLINK("http://www8.mpce.mp.br/Empenhos/150501/NE/2024NE000558.pdf","2024NE000558")</f>
        <v>2024NE000558</v>
      </c>
      <c r="L525" s="13">
        <v>35718.5</v>
      </c>
      <c r="M525" t="s">
        <v>51</v>
      </c>
      <c r="N525">
        <v>3773788000167</v>
      </c>
    </row>
    <row r="526" spans="1:14" x14ac:dyDescent="0.25">
      <c r="A526" s="12" t="s">
        <v>19</v>
      </c>
      <c r="B526" s="2" t="s">
        <v>210</v>
      </c>
      <c r="C526" s="3" t="str">
        <f>HYPERLINK("http://www8.mpce.mp.br/Dispensa/3072520194.pdf","30725/2019-4")</f>
        <v>30725/2019-4</v>
      </c>
      <c r="D526" s="4">
        <v>45950</v>
      </c>
      <c r="E526" s="16" t="str">
        <f>HYPERLINK("https://www8.mpce.mp.br/Empenhos/150001/Objeto/06-2020.pdf","EMPENHO REF. SERVIÇOS DE NUVEM E TRANSPORTE DE DADOS POR MEIO DO CINTURÃO DIGITAL DO CEARÁ (CDC), CONF. CONTRATO 006/2020, REF. OUT E NOV/2025, POR ESTIMATIVA.")</f>
        <v>EMPENHO REF. SERVIÇOS DE NUVEM E TRANSPORTE DE DADOS POR MEIO DO CINTURÃO DIGITAL DO CEARÁ (CDC), CONF. CONTRATO 006/2020, REF. OUT E NOV/2025, POR ESTIMATIVA.</v>
      </c>
      <c r="F526" s="2" t="s">
        <v>584</v>
      </c>
      <c r="G526" s="5" t="str">
        <f>HYPERLINK("https://siafe.sefaz.ce.gov.br/Siafe/downloadSignature?token=edb02216d97b4be896b93815a6e8ae50","2025NE001674")</f>
        <v>2025NE001674</v>
      </c>
      <c r="H526" s="6">
        <v>25810</v>
      </c>
      <c r="I526" s="7" t="s">
        <v>51</v>
      </c>
      <c r="J526" s="10" t="s">
        <v>212</v>
      </c>
      <c r="K526" t="str">
        <f>HYPERLINK("http://www8.mpce.mp.br/Empenhos/150501/NE/2024NE000558.pdf","2024NE000558")</f>
        <v>2024NE000558</v>
      </c>
      <c r="L526" s="13">
        <v>35718.5</v>
      </c>
      <c r="M526" t="s">
        <v>51</v>
      </c>
      <c r="N526">
        <v>3773788000167</v>
      </c>
    </row>
    <row r="527" spans="1:14" x14ac:dyDescent="0.25">
      <c r="A527" s="12" t="s">
        <v>19</v>
      </c>
      <c r="B527" s="2" t="s">
        <v>187</v>
      </c>
      <c r="C527" s="3" t="str">
        <f>HYPERLINK("http://www8.mpce.mp.br/Dispensa/146020136.pdf","1460/2013-6")</f>
        <v>1460/2013-6</v>
      </c>
      <c r="D527" s="4">
        <v>45950</v>
      </c>
      <c r="E527" s="16" t="str">
        <f>HYPERLINK("https://www8.mpce.mp.br/Empenhos/150001/Objeto/39-2013.pdf","EMPENHO REF. ALUGUEL DE IMÓVEL ONDE FUNCIONAM PROMOTORIAS DE JUSTIÇA DA COMARCA DE CASCAVEL-CE, CONF. CONTRATO 039/2013, REF. OUT E NOV/2025, POR ESTIMATIVA.")</f>
        <v>EMPENHO REF. ALUGUEL DE IMÓVEL ONDE FUNCIONAM PROMOTORIAS DE JUSTIÇA DA COMARCA DE CASCAVEL-CE, CONF. CONTRATO 039/2013, REF. OUT E NOV/2025, POR ESTIMATIVA.</v>
      </c>
      <c r="F527" s="2" t="s">
        <v>31</v>
      </c>
      <c r="G527" s="5" t="str">
        <f>HYPERLINK("https://siafe.sefaz.ce.gov.br/Siafe/downloadSignature?token=c893831765ef45f48b3dd843ecb91188","2025NE001675")</f>
        <v>2025NE001675</v>
      </c>
      <c r="H527" s="6">
        <v>8683.1200000000008</v>
      </c>
      <c r="I527" s="7" t="s">
        <v>88</v>
      </c>
      <c r="J527" s="10" t="s">
        <v>89</v>
      </c>
      <c r="K527" t="str">
        <f>HYPERLINK("http://www8.mpce.mp.br/Empenhos/150501/NE/2024NE000560.pdf","2024NE000560")</f>
        <v>2024NE000560</v>
      </c>
      <c r="L527" s="13">
        <v>75338.100000000006</v>
      </c>
      <c r="M527" t="s">
        <v>73</v>
      </c>
      <c r="N527">
        <v>82845322000104</v>
      </c>
    </row>
    <row r="528" spans="1:14" x14ac:dyDescent="0.25">
      <c r="A528" s="12" t="s">
        <v>19</v>
      </c>
      <c r="B528" s="2" t="s">
        <v>380</v>
      </c>
      <c r="C528" s="3" t="str">
        <f>HYPERLINK("https://transparencia-area-fim.mpce.mp.br/#/consulta/processo/pastadigital/092021000064195","09.2021.00006419-5")</f>
        <v>09.2021.00006419-5</v>
      </c>
      <c r="D528" s="4">
        <v>45945</v>
      </c>
      <c r="E528" s="16" t="str">
        <f>HYPERLINK("https://www8.mpce.mp.br/Empenhos/150001/Objeto/41-2021.pdf","EMPENHO REF. ALUGUEL DE IMÓVEL ONDE FUNCIONAM PROMOTORIAS DE JUSTIÇA DA COMARCA DE QUIXADÁ, CONF. CONTRATO 041/2021, REF. OUT E NOV/2025, POR ESTIMATIVA.")</f>
        <v>EMPENHO REF. ALUGUEL DE IMÓVEL ONDE FUNCIONAM PROMOTORIAS DE JUSTIÇA DA COMARCA DE QUIXADÁ, CONF. CONTRATO 041/2021, REF. OUT E NOV/2025, POR ESTIMATIVA.</v>
      </c>
      <c r="F528" s="2" t="s">
        <v>130</v>
      </c>
      <c r="G528" s="5" t="str">
        <f>HYPERLINK("https://siafe.sefaz.ce.gov.br/Siafe/downloadSignature?token=fae88a28902c41d184b54a7e2d7c667c","2025NE001676")</f>
        <v>2025NE001676</v>
      </c>
      <c r="H528" s="6">
        <v>38726.14</v>
      </c>
      <c r="I528" s="7" t="s">
        <v>742</v>
      </c>
      <c r="J528" s="10" t="s">
        <v>743</v>
      </c>
      <c r="K528" t="str">
        <f>HYPERLINK("http://www8.mpce.mp.br/Empenhos/150501/NE/2024NE000560.pdf","2024NE000560")</f>
        <v>2024NE000560</v>
      </c>
      <c r="L528" s="13">
        <v>75338.100000000006</v>
      </c>
      <c r="M528" t="s">
        <v>73</v>
      </c>
      <c r="N528">
        <v>82845322000104</v>
      </c>
    </row>
    <row r="529" spans="1:14" x14ac:dyDescent="0.25">
      <c r="A529" s="12" t="s">
        <v>19</v>
      </c>
      <c r="B529" s="2" t="s">
        <v>679</v>
      </c>
      <c r="C529" s="3" t="str">
        <f>HYPERLINK("https://transparencia-area-fim.mpce.mp.br/#/consulta/processo/pastadigital/092021000244449","09.2021.00024444-9")</f>
        <v>09.2021.00024444-9</v>
      </c>
      <c r="D529" s="4">
        <v>45950</v>
      </c>
      <c r="E529" s="16" t="str">
        <f>HYPERLINK("https://www8.mpce.mp.br/Empenhos/150001/Objeto/12-2022.pdf","EMPENHO REF. ALUGUEL DE IMÓVEL ONDE FUNCIONAM PROMOTORIAS DE JUSTIÇA DA COMARCA DE RUSSAS, CONF. CONTRATO 012/2022, REF. OUT E NOV/2025, POR ESTIMATIVA.")</f>
        <v>EMPENHO REF. ALUGUEL DE IMÓVEL ONDE FUNCIONAM PROMOTORIAS DE JUSTIÇA DA COMARCA DE RUSSAS, CONF. CONTRATO 012/2022, REF. OUT E NOV/2025, POR ESTIMATIVA.</v>
      </c>
      <c r="F529" s="2" t="s">
        <v>130</v>
      </c>
      <c r="G529" s="5" t="str">
        <f>HYPERLINK("https://siafe.sefaz.ce.gov.br/Siafe/downloadSignature?token=8bf7cb988fd3433aa3d351adbc1606f2","2025NE001677")</f>
        <v>2025NE001677</v>
      </c>
      <c r="H529" s="6">
        <v>43836.86</v>
      </c>
      <c r="I529" s="7" t="s">
        <v>744</v>
      </c>
      <c r="J529" s="10" t="s">
        <v>745</v>
      </c>
      <c r="K529" t="str">
        <f>HYPERLINK("http://www8.mpce.mp.br/Empenhos/150501/NE/2024NE000560.pdf","2024NE000560")</f>
        <v>2024NE000560</v>
      </c>
      <c r="L529" s="13">
        <v>75338.100000000006</v>
      </c>
      <c r="M529" t="s">
        <v>73</v>
      </c>
      <c r="N529">
        <v>82845322000104</v>
      </c>
    </row>
    <row r="530" spans="1:14" x14ac:dyDescent="0.25">
      <c r="A530" s="12" t="s">
        <v>159</v>
      </c>
      <c r="B530" s="2" t="s">
        <v>532</v>
      </c>
      <c r="C530" s="3" t="str">
        <f>HYPERLINK("https://transparencia-area-fim.mpce.mp.br/#/consulta/processo/pastadigital/092025000151247","09.2025.00015124-7")</f>
        <v>09.2025.00015124-7</v>
      </c>
      <c r="D530" s="4">
        <v>45832</v>
      </c>
      <c r="E530" s="16" t="s">
        <v>533</v>
      </c>
      <c r="F530" s="2" t="s">
        <v>534</v>
      </c>
      <c r="G530" s="14" t="str">
        <f>HYPERLINK("https://siafe.sefaz.ce.gov.br/Siafe/downloadSignature?token=f852a559f9fc4258bb07f54950591735","2025NE001680")</f>
        <v>2025NE001680</v>
      </c>
      <c r="H530" s="6">
        <v>3000</v>
      </c>
      <c r="I530" s="7" t="s">
        <v>535</v>
      </c>
      <c r="J530" s="10" t="s">
        <v>536</v>
      </c>
      <c r="K530" t="str">
        <f>HYPERLINK("http://www8.mpce.mp.br/Empenhos/150501/NE/2024NE000560.pdf","2024NE000560")</f>
        <v>2024NE000560</v>
      </c>
      <c r="L530" s="13">
        <v>75338.100000000006</v>
      </c>
      <c r="M530" t="s">
        <v>73</v>
      </c>
      <c r="N530">
        <v>82845322000104</v>
      </c>
    </row>
    <row r="531" spans="1:14" x14ac:dyDescent="0.25">
      <c r="A531" s="12" t="s">
        <v>19</v>
      </c>
      <c r="B531" s="2" t="s">
        <v>243</v>
      </c>
      <c r="C531" s="3" t="str">
        <f>HYPERLINK("https://transparencia-area-fim.mpce.mp.br/#/consulta/processo/pastadigital/092023000388810","09.2023.00038881-0")</f>
        <v>09.2023.00038881-0</v>
      </c>
      <c r="D531" s="4">
        <v>45950</v>
      </c>
      <c r="E531" s="16" t="str">
        <f>HYPERLINK("https://www8.mpce.mp.br/Empenhos/150001/Objeto/22-2024.pdf","EMPENHO REF. SERVIÇOS DE SOLUÇÃO EM NUVEM DE PROTEÇÃO, GESTÃO, AVALIAÇÃO DE POSTURA E CONECTIVIDADE PARA NUVEM, INCLUINDO IMPLANTAÇÃO, MONITORAMENTO E SUPORTE TÉCNICO, CONF. CON"&amp;"TRATO 022/2024, REF. OUT E NOV/2025, POR ESTIMATIVA.")</f>
        <v>EMPENHO REF. SERVIÇOS DE SOLUÇÃO EM NUVEM DE PROTEÇÃO, GESTÃO, AVALIAÇÃO DE POSTURA E CONECTIVIDADE PARA NUVEM, INCLUINDO IMPLANTAÇÃO, MONITORAMENTO E SUPORTE TÉCNICO, CONF. CONTRATO 022/2024, REF. OUT E NOV/2025, POR ESTIMATIVA.</v>
      </c>
      <c r="F531" s="2" t="s">
        <v>211</v>
      </c>
      <c r="G531" s="14" t="str">
        <f>HYPERLINK("https://siafe.sefaz.ce.gov.br/Siafe/downloadSignature?token=2ba5893ae78b40a1ba9710cb7983bc08","2025NE001681")</f>
        <v>2025NE001681</v>
      </c>
      <c r="H531" s="6">
        <v>71437</v>
      </c>
      <c r="I531" s="7" t="s">
        <v>51</v>
      </c>
      <c r="J531" s="10" t="s">
        <v>212</v>
      </c>
      <c r="K531" t="str">
        <f>HYPERLINK("http://www8.mpce.mp.br/Empenhos/150501/NE/2024NE000560.pdf","2024NE000560")</f>
        <v>2024NE000560</v>
      </c>
      <c r="L531" s="13">
        <v>75338.100000000006</v>
      </c>
      <c r="M531" t="s">
        <v>73</v>
      </c>
      <c r="N531">
        <v>82845322000104</v>
      </c>
    </row>
    <row r="532" spans="1:14" x14ac:dyDescent="0.25">
      <c r="A532" s="12" t="s">
        <v>19</v>
      </c>
      <c r="B532" s="2" t="s">
        <v>243</v>
      </c>
      <c r="C532" s="3" t="str">
        <f>HYPERLINK("https://transparencia-area-fim.mpce.mp.br/#/consulta/processo/pastadigital/092023000117363","09.2023.00011736-3")</f>
        <v>09.2023.00011736-3</v>
      </c>
      <c r="D532" s="4">
        <v>45950</v>
      </c>
      <c r="E532" s="16" t="str">
        <f>HYPERLINK("https://www8.mpce.mp.br/Empenhos/150001/Objeto/32-2023.pdf","EMPENHO REF. DISPONIBILIZAÇÃO DE SOLUÇÃO TECNOLÓGICA, NA MODALIDADE SOFTWARE (SAAS), CONF. CONTRATO 032/2023, REF. OUT E NOV/2025, POR ESTIMATIVA.")</f>
        <v>EMPENHO REF. DISPONIBILIZAÇÃO DE SOLUÇÃO TECNOLÓGICA, NA MODALIDADE SOFTWARE (SAAS), CONF. CONTRATO 032/2023, REF. OUT E NOV/2025, POR ESTIMATIVA.</v>
      </c>
      <c r="F532" s="2" t="s">
        <v>579</v>
      </c>
      <c r="G532" s="5" t="str">
        <f>HYPERLINK("https://siafe.sefaz.ce.gov.br/Siafe/downloadSignature?token=f7a45df79f99405ca173b5951e275946","2025NE001682")</f>
        <v>2025NE001682</v>
      </c>
      <c r="H532" s="6">
        <v>12432.84</v>
      </c>
      <c r="I532" s="7" t="s">
        <v>51</v>
      </c>
      <c r="J532" s="10" t="s">
        <v>212</v>
      </c>
      <c r="K532" t="str">
        <f>HYPERLINK("http://www8.mpce.mp.br/Empenhos/150501/NE/2024NE000566.pdf","2024NE000566")</f>
        <v>2024NE000566</v>
      </c>
      <c r="L532" s="13">
        <v>2040.09</v>
      </c>
      <c r="M532" t="s">
        <v>99</v>
      </c>
      <c r="N532">
        <v>20941439372</v>
      </c>
    </row>
    <row r="533" spans="1:14" x14ac:dyDescent="0.25">
      <c r="A533" s="12" t="s">
        <v>159</v>
      </c>
      <c r="B533" s="2" t="s">
        <v>253</v>
      </c>
      <c r="C533" s="3" t="str">
        <f>HYPERLINK("https://transparencia-area-fim.mpce.mp.br/#/consulta/processo/pastadigital/092021000189150","09.2021.00018915-0")</f>
        <v>09.2021.00018915-0</v>
      </c>
      <c r="D533" s="4">
        <v>45950</v>
      </c>
      <c r="E533" s="16" t="str">
        <f>HYPERLINK("https://www8.mpce.mp.br/Empenhos/150001/Objeto/09-2022.pdf","EMPENHO REF. SERVIÇOS DE EXTENSÃO DE GARANTIA PARA O DATA CENTER, CONF. CONTRATO 009/2022, REF. OUT E NOV/2025, POR ESTIMATIVA.")</f>
        <v>EMPENHO REF. SERVIÇOS DE EXTENSÃO DE GARANTIA PARA O DATA CENTER, CONF. CONTRATO 009/2022, REF. OUT E NOV/2025, POR ESTIMATIVA.</v>
      </c>
      <c r="F533" s="2" t="s">
        <v>264</v>
      </c>
      <c r="G533" s="5" t="str">
        <f>HYPERLINK("http://www8.mpce.mp.br/Empenhos/150501/NE/2025NE001688.pdf","2025NE001688")</f>
        <v>2025NE001688</v>
      </c>
      <c r="H533" s="6">
        <v>39984.400000000001</v>
      </c>
      <c r="I533" s="7" t="s">
        <v>66</v>
      </c>
      <c r="J533" s="10" t="s">
        <v>265</v>
      </c>
      <c r="K533" t="str">
        <f>HYPERLINK("http://www8.mpce.mp.br/Empenhos/150501/NE/2024NE000567.pdf","2024NE000567")</f>
        <v>2024NE000567</v>
      </c>
      <c r="L533" s="13">
        <v>24450.84</v>
      </c>
      <c r="M533" t="s">
        <v>62</v>
      </c>
      <c r="N533">
        <v>2144832315</v>
      </c>
    </row>
    <row r="534" spans="1:14" x14ac:dyDescent="0.25">
      <c r="A534" s="12" t="s">
        <v>159</v>
      </c>
      <c r="B534" s="2" t="s">
        <v>278</v>
      </c>
      <c r="C534" s="3" t="str">
        <f>HYPERLINK("https://transparencia-area-fim.mpce.mp.br/#/consulta/processo/pastadigital/092023000255300","09.2023.00025530-0")</f>
        <v>09.2023.00025530-0</v>
      </c>
      <c r="D534" s="4">
        <v>45951</v>
      </c>
      <c r="E534" s="16" t="str">
        <f>HYPERLINK("https://www8.mpce.mp.br/Empenhos/150001/Objeto/42-2024.pdf","EMPENHO REF. SERVIÇO DO SISTEMA SAJ-MP - ACOMPANHAMENTO DA OPERAÇÃO, CONF. CONTRATO 042/2024, REF. OUT E NOV/2025, POR ESTIMATIVA.")</f>
        <v>EMPENHO REF. SERVIÇO DO SISTEMA SAJ-MP - ACOMPANHAMENTO DA OPERAÇÃO, CONF. CONTRATO 042/2024, REF. OUT E NOV/2025, POR ESTIMATIVA.</v>
      </c>
      <c r="F534" s="2" t="s">
        <v>279</v>
      </c>
      <c r="G534" s="5" t="str">
        <f>HYPERLINK("https://siafe.sefaz.ce.gov.br/Siafe/downloadSignature?token=1e198c7a247c4847bee13a5e392e6326","2025NE001689")</f>
        <v>2025NE001689</v>
      </c>
      <c r="H534" s="6">
        <v>145714</v>
      </c>
      <c r="I534" s="7" t="s">
        <v>73</v>
      </c>
      <c r="J534" s="10" t="s">
        <v>280</v>
      </c>
      <c r="K534" t="str">
        <f>HYPERLINK("http://www8.mpce.mp.br/Empenhos/150501/NE/2024NE000568.pdf","2024NE000568")</f>
        <v>2024NE000568</v>
      </c>
      <c r="L534" s="13">
        <v>13024.68</v>
      </c>
      <c r="M534" t="s">
        <v>88</v>
      </c>
      <c r="N534">
        <v>18904432391</v>
      </c>
    </row>
    <row r="535" spans="1:14" x14ac:dyDescent="0.25">
      <c r="A535" s="12" t="s">
        <v>159</v>
      </c>
      <c r="B535" s="2" t="s">
        <v>278</v>
      </c>
      <c r="C535" s="3" t="str">
        <f>HYPERLINK("https://transparencia-area-fim.mpce.mp.br/#/consulta/processo/pastadigital/092023000255300","09.2023.00025530-0")</f>
        <v>09.2023.00025530-0</v>
      </c>
      <c r="D535" s="4">
        <v>45951</v>
      </c>
      <c r="E535" s="16" t="str">
        <f>HYPERLINK("https://www8.mpce.mp.br/Empenhos/150001/Objeto/42-2024.pdf","EMPENHO REF. SERVIÇO DO SISTEMA SAJ-MP - HOSPEDAGEM EM NUVEM, CONF. CONTRATO 042/2024, REF. OUT E NOV/2025, POR ESTIMATIVA.")</f>
        <v>EMPENHO REF. SERVIÇO DO SISTEMA SAJ-MP - HOSPEDAGEM EM NUVEM, CONF. CONTRATO 042/2024, REF. OUT E NOV/2025, POR ESTIMATIVA.</v>
      </c>
      <c r="F535" s="2" t="s">
        <v>283</v>
      </c>
      <c r="G535" s="5" t="str">
        <f>HYPERLINK("https://siafe.sefaz.ce.gov.br/Siafe/downloadSignature?token=9bc949845a004f078c17d2259a754824","2025NE001690")</f>
        <v>2025NE001690</v>
      </c>
      <c r="H535" s="6">
        <v>209000</v>
      </c>
      <c r="I535" s="7" t="s">
        <v>73</v>
      </c>
      <c r="J535" s="10" t="s">
        <v>280</v>
      </c>
      <c r="K535" t="str">
        <f>HYPERLINK("http://www8.mpce.mp.br/Empenhos/150501/NE/2024NE000569.pdf","2024NE000569")</f>
        <v>2024NE000569</v>
      </c>
      <c r="L535" s="13">
        <v>7025.91</v>
      </c>
      <c r="M535" t="s">
        <v>86</v>
      </c>
      <c r="N535">
        <v>46950052391</v>
      </c>
    </row>
    <row r="536" spans="1:14" x14ac:dyDescent="0.25">
      <c r="A536" s="12" t="s">
        <v>159</v>
      </c>
      <c r="B536" s="2" t="s">
        <v>532</v>
      </c>
      <c r="C536" s="3" t="str">
        <f>HYPERLINK("https://transparencia-area-fim.mpce.mp.br/#/consulta/processo/pastadigital/092025000141371","09.2025.00014137-1")</f>
        <v>09.2025.00014137-1</v>
      </c>
      <c r="D536" s="4">
        <v>45826</v>
      </c>
      <c r="E536" s="16" t="s">
        <v>537</v>
      </c>
      <c r="F536" s="2" t="s">
        <v>221</v>
      </c>
      <c r="G536" s="5" t="str">
        <f>HYPERLINK("https://siafe.sefaz.ce.gov.br/Siafe/downloadSignature?token=1eb32b00d1044899a1a49cee437c61f5","2025NE001690")</f>
        <v>2025NE001690</v>
      </c>
      <c r="H536" s="6">
        <v>10000</v>
      </c>
      <c r="I536" s="7" t="s">
        <v>538</v>
      </c>
      <c r="J536" s="10" t="s">
        <v>539</v>
      </c>
      <c r="K536" t="str">
        <f>HYPERLINK("http://www8.mpce.mp.br/Empenhos/150501/NE/2024NE000570.pdf","2024NE000570")</f>
        <v>2024NE000570</v>
      </c>
      <c r="L536" s="13">
        <v>4294.05</v>
      </c>
      <c r="M536" t="s">
        <v>92</v>
      </c>
      <c r="N536">
        <v>15473585000134</v>
      </c>
    </row>
    <row r="537" spans="1:14" x14ac:dyDescent="0.25">
      <c r="A537" s="12" t="s">
        <v>159</v>
      </c>
      <c r="B537" s="2" t="s">
        <v>278</v>
      </c>
      <c r="C537" s="3" t="str">
        <f>HYPERLINK("https://transparencia-area-fim.mpce.mp.br/#/consulta/processo/pastadigital/092023000255300","09.2023.00025530-0")</f>
        <v>09.2023.00025530-0</v>
      </c>
      <c r="D537" s="4">
        <v>45961</v>
      </c>
      <c r="E537" s="16" t="str">
        <f>HYPERLINK("https://www8.mpce.mp.br/Empenhos/150001/Objeto/42-2024.pdf","EMPENHO REF. SERVIÇO DO SISTEMA SAJ-MP - SUPORTE 1º NÍVEL, CONF. CONTRATO 042/2024, REF. OUT/2025, POR ESTIMATIVA.")</f>
        <v>EMPENHO REF. SERVIÇO DO SISTEMA SAJ-MP - SUPORTE 1º NÍVEL, CONF. CONTRATO 042/2024, REF. OUT/2025, POR ESTIMATIVA.</v>
      </c>
      <c r="F537" s="2" t="s">
        <v>279</v>
      </c>
      <c r="G537" s="5" t="str">
        <f>HYPERLINK("https://siafe.sefaz.ce.gov.br/Siafe/downloadSignature?token=24ddbe62b1124109a6e9b4381f9e5499","2025NE001691")</f>
        <v>2025NE001691</v>
      </c>
      <c r="H537" s="6">
        <v>141594.63</v>
      </c>
      <c r="I537" s="7" t="s">
        <v>73</v>
      </c>
      <c r="J537" s="10" t="s">
        <v>280</v>
      </c>
      <c r="K537" t="str">
        <f>HYPERLINK("http://www8.mpce.mp.br/Empenhos/150501/NE/2024NE000571.pdf","2024NE000571")</f>
        <v>2024NE000571</v>
      </c>
      <c r="L537" s="13">
        <v>3920.1</v>
      </c>
      <c r="M537" t="s">
        <v>41</v>
      </c>
      <c r="N537">
        <v>43713017387</v>
      </c>
    </row>
    <row r="538" spans="1:14" x14ac:dyDescent="0.25">
      <c r="A538" s="12" t="s">
        <v>159</v>
      </c>
      <c r="B538" s="2" t="s">
        <v>278</v>
      </c>
      <c r="C538" s="3" t="str">
        <f>HYPERLINK("https://transparencia-area-fim.mpce.mp.br/#/consulta/processo/pastadigital/092023000255300","09.2023.00025530-0")</f>
        <v>09.2023.00025530-0</v>
      </c>
      <c r="D538" s="4">
        <v>45950</v>
      </c>
      <c r="E538" s="16" t="str">
        <f>HYPERLINK("https://www8.mpce.mp.br/Empenhos/150001/Objeto/42-2024.pdf","EMPENHO REF. SERVIÇO DO SISTEMA SAJ-MP - SUPORTE ESTENDIDO, CONF. CONTRATO 042/2024, REF. OUT E NOV/2025, POR ESTIMATIVA.")</f>
        <v>EMPENHO REF. SERVIÇO DO SISTEMA SAJ-MP - SUPORTE ESTENDIDO, CONF. CONTRATO 042/2024, REF. OUT E NOV/2025, POR ESTIMATIVA.</v>
      </c>
      <c r="F538" s="2" t="s">
        <v>279</v>
      </c>
      <c r="G538" s="5" t="str">
        <f>HYPERLINK("https://siafe.sefaz.ce.gov.br/Siafe/downloadSignature?token=7ba707930cbd4e779da082e3a0e38f83","2025NE001692")</f>
        <v>2025NE001692</v>
      </c>
      <c r="H538" s="6">
        <v>27793.8</v>
      </c>
      <c r="I538" s="7" t="s">
        <v>73</v>
      </c>
      <c r="J538" s="10" t="s">
        <v>280</v>
      </c>
      <c r="K538" t="str">
        <f>HYPERLINK("http://www8.mpce.mp.br/Empenhos/150501/NE/2024NE000572.pdf","2024NE000572")</f>
        <v>2024NE000572</v>
      </c>
      <c r="L538" s="13">
        <v>12000</v>
      </c>
      <c r="M538" t="s">
        <v>42</v>
      </c>
      <c r="N538">
        <v>19678451824</v>
      </c>
    </row>
    <row r="539" spans="1:14" x14ac:dyDescent="0.25">
      <c r="A539" s="12" t="s">
        <v>159</v>
      </c>
      <c r="B539" s="2" t="s">
        <v>278</v>
      </c>
      <c r="C539" s="3" t="str">
        <f>HYPERLINK("https://transparencia-area-fim.mpce.mp.br/#/consulta/processo/pastadigital/092023000255300","09.2023.00025530-0")</f>
        <v>09.2023.00025530-0</v>
      </c>
      <c r="D539" s="4">
        <v>45959</v>
      </c>
      <c r="E539" s="16" t="str">
        <f>HYPERLINK("https://www8.mpce.mp.br/Empenhos/150001/Objeto/42-2024.pdf","EMPENHO REF. SERVIÇO DO SISTEMA SAJMP - GETF, CONF. CONTRATO 042/2024, REF. OUT E NOV/2025, POR ESTIMATIVA.")</f>
        <v>EMPENHO REF. SERVIÇO DO SISTEMA SAJMP - GETF, CONF. CONTRATO 042/2024, REF. OUT E NOV/2025, POR ESTIMATIVA.</v>
      </c>
      <c r="F539" s="2" t="s">
        <v>284</v>
      </c>
      <c r="G539" s="5" t="str">
        <f>HYPERLINK("https://siafe.sefaz.ce.gov.br/Siafe/downloadSignature?token=d55a07df65734404a2ca7674c3944bd3","2025NE001693")</f>
        <v>2025NE001693</v>
      </c>
      <c r="H539" s="6">
        <v>306856</v>
      </c>
      <c r="I539" s="7" t="s">
        <v>73</v>
      </c>
      <c r="J539" s="10" t="s">
        <v>280</v>
      </c>
      <c r="K539" t="str">
        <f>HYPERLINK("http://www8.mpce.mp.br/Empenhos/150501/NE/2024NE000573.pdf","2024NE000573")</f>
        <v>2024NE000573</v>
      </c>
      <c r="L539" s="13">
        <v>8807.1299999999992</v>
      </c>
      <c r="M539" t="s">
        <v>98</v>
      </c>
      <c r="N539">
        <v>77748638349</v>
      </c>
    </row>
    <row r="540" spans="1:14" x14ac:dyDescent="0.25">
      <c r="A540" s="12" t="s">
        <v>159</v>
      </c>
      <c r="B540" s="2" t="s">
        <v>278</v>
      </c>
      <c r="C540" s="3" t="str">
        <f>HYPERLINK("https://transparencia-area-fim.mpce.mp.br/#/consulta/processo/pastadigital/092023000255300","09.2023.00025530-0")</f>
        <v>09.2023.00025530-0</v>
      </c>
      <c r="D540" s="4">
        <v>45951</v>
      </c>
      <c r="E540" s="16" t="str">
        <f>HYPERLINK("https://www8.mpce.mp.br/Empenhos/150001/Objeto/42-2024.pdf","EMPENHO REF. SERVIÇO DO SISTEMA SAJ-MP - SUSTENTAÇÃO, CONF. CONTRATO 042/2024, REF. OUT E NOV/2025, POR ESTIMATIVA.")</f>
        <v>EMPENHO REF. SERVIÇO DO SISTEMA SAJ-MP - SUSTENTAÇÃO, CONF. CONTRATO 042/2024, REF. OUT E NOV/2025, POR ESTIMATIVA.</v>
      </c>
      <c r="F540" s="2" t="s">
        <v>279</v>
      </c>
      <c r="G540" s="5" t="str">
        <f>HYPERLINK("https://siafe.sefaz.ce.gov.br/Siafe/downloadSignature?token=54822653bc98454badad15c4df6a4b15","2025NE001694")</f>
        <v>2025NE001694</v>
      </c>
      <c r="H540" s="6">
        <v>165216</v>
      </c>
      <c r="I540" s="7" t="s">
        <v>73</v>
      </c>
      <c r="J540" s="10" t="s">
        <v>280</v>
      </c>
      <c r="K540" t="str">
        <f>HYPERLINK("http://www8.mpce.mp.br/Empenhos/150501/NE/2024NE000574.pdf","2024NE000574")</f>
        <v>2024NE000574</v>
      </c>
      <c r="L540" s="13">
        <v>6564.03</v>
      </c>
      <c r="M540" t="s">
        <v>95</v>
      </c>
      <c r="N540">
        <v>49090674349</v>
      </c>
    </row>
    <row r="541" spans="1:14" x14ac:dyDescent="0.25">
      <c r="A541" s="12" t="s">
        <v>159</v>
      </c>
      <c r="B541" s="2" t="s">
        <v>278</v>
      </c>
      <c r="C541" s="3" t="str">
        <f>HYPERLINK("https://transparencia-area-fim.mpce.mp.br/#/consulta/processo/pastadigital/092023000255300","09.2023.00025530-0")</f>
        <v>09.2023.00025530-0</v>
      </c>
      <c r="D541" s="4">
        <v>45950</v>
      </c>
      <c r="E541" s="16" t="str">
        <f>HYPERLINK("https://www8.mpce.mp.br/Empenhos/150001/Objeto/42-2024.pdf","EMPENHO REF. SERVIÇO DO SISTEMA SAJ-MP - SOB DEMANDA, CONF. CONTRATO 042/2024, REF. OUT E NOV/2025, POR ESTIMATIVA.")</f>
        <v>EMPENHO REF. SERVIÇO DO SISTEMA SAJ-MP - SOB DEMANDA, CONF. CONTRATO 042/2024, REF. OUT E NOV/2025, POR ESTIMATIVA.</v>
      </c>
      <c r="F541" s="2" t="s">
        <v>279</v>
      </c>
      <c r="G541" s="5" t="str">
        <f>HYPERLINK("https://siafe.sefaz.ce.gov.br/Siafe/downloadSignature?token=334d12ccb9734ee8a177abadff4c5ca0","2025NE001695")</f>
        <v>2025NE001695</v>
      </c>
      <c r="H541" s="6">
        <v>88000</v>
      </c>
      <c r="I541" s="7" t="s">
        <v>73</v>
      </c>
      <c r="J541" s="10" t="s">
        <v>280</v>
      </c>
      <c r="K541" t="str">
        <f>HYPERLINK("http://www8.mpce.mp.br/Empenhos/150501/NE/2024NE000575.pdf","2024NE000575")</f>
        <v>2024NE000575</v>
      </c>
      <c r="L541" s="13">
        <v>6000</v>
      </c>
      <c r="M541" t="s">
        <v>34</v>
      </c>
      <c r="N541">
        <v>7021062320</v>
      </c>
    </row>
    <row r="542" spans="1:14" x14ac:dyDescent="0.25">
      <c r="A542" s="12" t="s">
        <v>19</v>
      </c>
      <c r="B542" s="2" t="s">
        <v>200</v>
      </c>
      <c r="C542" s="3" t="str">
        <f>HYPERLINK("https://transparencia-area-fim.mpce.mp.br/#/consulta/processo/pastadigital/092024000382620","09.2024.00038262-0")</f>
        <v>09.2024.00038262-0</v>
      </c>
      <c r="D542" s="4">
        <v>45950</v>
      </c>
      <c r="E542" s="16" t="str">
        <f>HYPERLINK("https://www8.mpce.mp.br/Empenhos/150001/Objeto/02-2025.pdf","EMPENHO REF. SERVIÇOS DE SUPORTE E FORNECIMENTO DOS SERVIÇOS COMPUTACIONAIS DA PLATAFORMA GOOGLE MAPS, CONF. CONTRATO 002/2020, REF. OUT E NOV/2025, POR ESTIMATIVA.")</f>
        <v>EMPENHO REF. SERVIÇOS DE SUPORTE E FORNECIMENTO DOS SERVIÇOS COMPUTACIONAIS DA PLATAFORMA GOOGLE MAPS, CONF. CONTRATO 002/2020, REF. OUT E NOV/2025, POR ESTIMATIVA.</v>
      </c>
      <c r="F542" s="2" t="s">
        <v>279</v>
      </c>
      <c r="G542" s="5" t="str">
        <f>HYPERLINK("https://siafe.sefaz.ce.gov.br/Siafe/downloadSignature?token=9a2742244fde45a09eceae555fda89ff","2025NE001696")</f>
        <v>2025NE001696</v>
      </c>
      <c r="H542" s="6">
        <v>600</v>
      </c>
      <c r="I542" s="7" t="s">
        <v>83</v>
      </c>
      <c r="J542" s="10" t="s">
        <v>322</v>
      </c>
      <c r="K542" t="str">
        <f>HYPERLINK("http://www8.mpce.mp.br/Empenhos/150501/NE/2024NE000576.pdf","2024NE000576")</f>
        <v>2024NE000576</v>
      </c>
      <c r="L542" s="13">
        <v>16554.45</v>
      </c>
      <c r="M542" t="s">
        <v>37</v>
      </c>
      <c r="N542">
        <v>34123367852</v>
      </c>
    </row>
    <row r="543" spans="1:14" x14ac:dyDescent="0.25">
      <c r="A543" s="12" t="s">
        <v>19</v>
      </c>
      <c r="B543" s="2" t="s">
        <v>187</v>
      </c>
      <c r="C543" s="3" t="str">
        <f>HYPERLINK("https://transparencia-area-fim.mpce.mp.br/#/consulta/processo/pastadigital/092022000091296","09.2022.00009129-6")</f>
        <v>09.2022.00009129-6</v>
      </c>
      <c r="D543" s="4">
        <v>45950</v>
      </c>
      <c r="E543" s="16" t="str">
        <f>HYPERLINK("https://www8.mpce.mp.br/Empenhos/150001/Objeto/33-2022.pdf","EMPENHO REF. IPTU DE IMÓVEL ONDE FUNCIONAM PROMOTORIAS DE JUSTIÇA DA COMARCA DE VÁRZEA ALEGRE, CONF. CONTRATO 033/2022, REF. 2025 - PARCELA ÚNICA.")</f>
        <v>EMPENHO REF. IPTU DE IMÓVEL ONDE FUNCIONAM PROMOTORIAS DE JUSTIÇA DA COMARCA DE VÁRZEA ALEGRE, CONF. CONTRATO 033/2022, REF. 2025 - PARCELA ÚNICA.</v>
      </c>
      <c r="F543" s="2" t="s">
        <v>361</v>
      </c>
      <c r="G543" s="5" t="str">
        <f>HYPERLINK("https://siafe.sefaz.ce.gov.br/Siafe/downloadSignature?token=847bcfca16d2409ea38322da0c330670","2025NE001698")</f>
        <v>2025NE001698</v>
      </c>
      <c r="H543" s="6">
        <v>87.99</v>
      </c>
      <c r="I543" s="7" t="s">
        <v>33</v>
      </c>
      <c r="J543" s="10" t="s">
        <v>165</v>
      </c>
      <c r="K543" t="str">
        <f>HYPERLINK("http://www8.mpce.mp.br/Empenhos/150501/NE/2024NE000577.pdf","2024NE000577")</f>
        <v>2024NE000577</v>
      </c>
      <c r="L543" s="13">
        <v>7200</v>
      </c>
      <c r="M543" t="s">
        <v>36</v>
      </c>
      <c r="N543">
        <v>25876988391</v>
      </c>
    </row>
    <row r="544" spans="1:14" x14ac:dyDescent="0.25">
      <c r="A544" s="12" t="s">
        <v>19</v>
      </c>
      <c r="B544" s="2" t="s">
        <v>187</v>
      </c>
      <c r="C544" s="3" t="str">
        <f>HYPERLINK("https://transparencia-area-fim.mpce.mp.br/#/consulta/processo/pastadigital/092021000219739","09.2021.00021973-9")</f>
        <v>09.2021.00021973-9</v>
      </c>
      <c r="D544" s="4">
        <v>45950</v>
      </c>
      <c r="E544" s="16" t="str">
        <f>HYPERLINK("https://www8.mpce.mp.br/Empenhos/150001/Objeto/45-2021.pdf","EMPENHO REF. IPTU DE IMÓVEL ONDE FUNCIONAM PROMOTORIAS DE JUSTIÇA DA COMARCA DE EUSÉBIO, CONF. CONTRATO 045/2021, REF. 2025 - PARCELAS 01 A 06.")</f>
        <v>EMPENHO REF. IPTU DE IMÓVEL ONDE FUNCIONAM PROMOTORIAS DE JUSTIÇA DA COMARCA DE EUSÉBIO, CONF. CONTRATO 045/2021, REF. 2025 - PARCELAS 01 A 06.</v>
      </c>
      <c r="F544" s="2" t="s">
        <v>323</v>
      </c>
      <c r="G544" s="5" t="str">
        <f>HYPERLINK("https://siafe.sefaz.ce.gov.br/Siafe/downloadSignature?token=db7191b932c64c1484243489e8ad05d5","2025NE001699")</f>
        <v>2025NE001699</v>
      </c>
      <c r="H544" s="6">
        <v>1188.48</v>
      </c>
      <c r="I544" s="7" t="s">
        <v>43</v>
      </c>
      <c r="J544" s="10" t="s">
        <v>186</v>
      </c>
      <c r="K544" t="str">
        <f>HYPERLINK("http://www8.mpce.mp.br/Empenhos/150501/NE/2024NE000578.pdf","2024NE000578")</f>
        <v>2024NE000578</v>
      </c>
      <c r="L544" s="13">
        <v>8469.81</v>
      </c>
      <c r="M544" t="s">
        <v>38</v>
      </c>
      <c r="N544">
        <v>35165286215</v>
      </c>
    </row>
    <row r="545" spans="1:14" x14ac:dyDescent="0.25">
      <c r="A545" s="12" t="s">
        <v>159</v>
      </c>
      <c r="B545" s="2" t="s">
        <v>677</v>
      </c>
      <c r="C545" s="3" t="str">
        <f>HYPERLINK("https://transparencia-area-fim.mpce.mp.br/#/consulta/processo/pastadigital/092022000371847","09.2022.00037184-7")</f>
        <v>09.2022.00037184-7</v>
      </c>
      <c r="D545" s="4">
        <v>45950</v>
      </c>
      <c r="E545" s="16" t="str">
        <f>HYPERLINK("https://www8.mpce.mp.br/Empenhos/150001/Objeto/44-2023.pdf","EMPENHO REF. IPTU DE IMÓVEL ONDE FUNCIONAM PROMOTORIAS DE JUSTIÇA DA COMARCA DE MARCO, CONF. CONTRATO 033/2022, REF. 2025 - PARCELA ÚNICA.")</f>
        <v>EMPENHO REF. IPTU DE IMÓVEL ONDE FUNCIONAM PROMOTORIAS DE JUSTIÇA DA COMARCA DE MARCO, CONF. CONTRATO 033/2022, REF. 2025 - PARCELA ÚNICA.</v>
      </c>
      <c r="F545" s="2" t="s">
        <v>361</v>
      </c>
      <c r="G545" s="5" t="str">
        <f>HYPERLINK("https://siafe.sefaz.ce.gov.br/Siafe/downloadSignature?token=a87791740fd2486a8373d7db60450828","2025NE001700")</f>
        <v>2025NE001700</v>
      </c>
      <c r="H545" s="6">
        <v>32.450000000000003</v>
      </c>
      <c r="I545" s="7" t="s">
        <v>44</v>
      </c>
      <c r="J545" s="10" t="s">
        <v>192</v>
      </c>
      <c r="K545" t="str">
        <f>HYPERLINK("http://www8.mpce.mp.br/Empenhos/150501/NE/2024NE000579.pdf","2024NE000579")</f>
        <v>2024NE000579</v>
      </c>
      <c r="L545" s="13">
        <v>16638.3</v>
      </c>
      <c r="M545" t="s">
        <v>43</v>
      </c>
      <c r="N545">
        <v>22588967000179</v>
      </c>
    </row>
    <row r="546" spans="1:14" x14ac:dyDescent="0.25">
      <c r="A546" s="12" t="s">
        <v>19</v>
      </c>
      <c r="B546" s="2" t="s">
        <v>187</v>
      </c>
      <c r="C546" s="3" t="str">
        <f>HYPERLINK("http://www8.mpce.mp.br/Dispensa/4793720162.pdf","4793720162")</f>
        <v>4793720162</v>
      </c>
      <c r="D546" s="4">
        <v>45950</v>
      </c>
      <c r="E546" s="16" t="str">
        <f>HYPERLINK("https://www8.mpce.mp.br/Empenhos/150001/Objeto/14-2017.pdf","EMPENHO REF. ALUGUEL DE IMÓVEL ONDE FUNCIONA GALPÃO DE ALMOXARIFADO DA PGJ, CONF. CONTRATO 014/2017, REF. REAJUSTE RETROATIVO PROPORCIONAL 05DD SET/2025.")</f>
        <v>EMPENHO REF. ALUGUEL DE IMÓVEL ONDE FUNCIONA GALPÃO DE ALMOXARIFADO DA PGJ, CONF. CONTRATO 014/2017, REF. REAJUSTE RETROATIVO PROPORCIONAL 05DD SET/2025.</v>
      </c>
      <c r="F546" s="2" t="s">
        <v>130</v>
      </c>
      <c r="G546" s="5" t="str">
        <f>HYPERLINK("https://siafe.sefaz.ce.gov.br/Siafe/downloadSignature?token=12f94f2fd4074736b3ef8c47831e444c","2025NE001703")</f>
        <v>2025NE001703</v>
      </c>
      <c r="H546" s="6">
        <v>842.75</v>
      </c>
      <c r="I546" s="7" t="s">
        <v>30</v>
      </c>
      <c r="J546" s="10" t="s">
        <v>161</v>
      </c>
      <c r="K546" t="str">
        <f>HYPERLINK("http://www8.mpce.mp.br/Empenhos/150501/NE/2024NE000580.pdf","2024NE000580")</f>
        <v>2024NE000580</v>
      </c>
      <c r="L546" s="13">
        <v>4463.6400000000003</v>
      </c>
      <c r="M546" t="s">
        <v>43</v>
      </c>
      <c r="N546">
        <v>22588967000179</v>
      </c>
    </row>
    <row r="547" spans="1:14" x14ac:dyDescent="0.25">
      <c r="A547" s="12" t="s">
        <v>19</v>
      </c>
      <c r="B547" s="2" t="s">
        <v>187</v>
      </c>
      <c r="C547" s="3" t="str">
        <f>HYPERLINK("http://www8.mpce.mp.br/Dispensa/2150720189.pdf","21507/2018-9")</f>
        <v>21507/2018-9</v>
      </c>
      <c r="D547" s="4">
        <v>45950</v>
      </c>
      <c r="E547" s="16" t="str">
        <f>HYPERLINK("https://www8.mpce.mp.br/Empenhos/150001/Objeto/51-2019.pdf","EMPENHO REF. ALUGUEL DE IMÓVEL ONDE FUNCIONAM PROMOTORIAS DE JUSTIÇA DA COMARCA DE VIÇOSA DO CEARÁ, CONF. CONTRATO 051/2019, REF. REAJUSTE RETROATIVO AGO E SET/2025.")</f>
        <v>EMPENHO REF. ALUGUEL DE IMÓVEL ONDE FUNCIONAM PROMOTORIAS DE JUSTIÇA DA COMARCA DE VIÇOSA DO CEARÁ, CONF. CONTRATO 051/2019, REF. REAJUSTE RETROATIVO AGO E SET/2025.</v>
      </c>
      <c r="F547" s="2" t="s">
        <v>31</v>
      </c>
      <c r="G547" s="5" t="str">
        <f>HYPERLINK("https://siafe.sefaz.ce.gov.br/Siafe/downloadSignature?token=56d6d8203c2740c4b87a5bb34bd3a32a","2025NE001704")</f>
        <v>2025NE001704</v>
      </c>
      <c r="H547" s="6">
        <v>151.63999999999999</v>
      </c>
      <c r="I547" s="7" t="s">
        <v>98</v>
      </c>
      <c r="J547" s="10" t="s">
        <v>102</v>
      </c>
      <c r="K547" t="str">
        <f>HYPERLINK("http://www8.mpce.mp.br/Empenhos/150501/NE/2024NE000581.pdf","2024NE000581")</f>
        <v>2024NE000581</v>
      </c>
      <c r="L547" s="13">
        <v>4921.05</v>
      </c>
      <c r="M547" t="s">
        <v>43</v>
      </c>
      <c r="N547">
        <v>22588967000179</v>
      </c>
    </row>
    <row r="548" spans="1:14" x14ac:dyDescent="0.25">
      <c r="A548" s="12" t="s">
        <v>19</v>
      </c>
      <c r="B548" s="2" t="s">
        <v>187</v>
      </c>
      <c r="C548" s="3" t="str">
        <f>HYPERLINK("http://www8.mpce.mp.br/Dispensa/842220170.pdf","8422/20170")</f>
        <v>8422/20170</v>
      </c>
      <c r="D548" s="4">
        <v>45950</v>
      </c>
      <c r="E548" s="16" t="str">
        <f>HYPERLINK("https://www8.mpce.mp.br/Empenhos/150001/Objeto/16-2017.pdf","EMPENHO REF. SEGURO ANUAL CONTRA INCÊNDIO DE IMÓVEL ONDE FUNCIONAM PROMOTORIAS DE JUSTIÇA CRIMINAIS DA COMARCA DE FORTALEZA, CONF. CONTRATO 016/2017, REF. 2025.")</f>
        <v>EMPENHO REF. SEGURO ANUAL CONTRA INCÊNDIO DE IMÓVEL ONDE FUNCIONAM PROMOTORIAS DE JUSTIÇA CRIMINAIS DA COMARCA DE FORTALEZA, CONF. CONTRATO 016/2017, REF. 2025.</v>
      </c>
      <c r="F548" s="2" t="s">
        <v>746</v>
      </c>
      <c r="G548" s="5" t="str">
        <f>HYPERLINK("https://siafe.sefaz.ce.gov.br/Siafe/downloadSignature?token=b3e9f2b99f974cb4b0ec4ec6ebb1d790","2025NE001705")</f>
        <v>2025NE001705</v>
      </c>
      <c r="H548" s="6">
        <v>1969.4</v>
      </c>
      <c r="I548" s="7" t="s">
        <v>29</v>
      </c>
      <c r="J548" s="10" t="s">
        <v>158</v>
      </c>
      <c r="K548" t="str">
        <f>HYPERLINK("http://www8.mpce.mp.br/Empenhos/150501/NE/2024NE000582.pdf","2024NE000582")</f>
        <v>2024NE000582</v>
      </c>
      <c r="L548">
        <v>729.87</v>
      </c>
      <c r="M548" t="s">
        <v>43</v>
      </c>
      <c r="N548">
        <v>22588967000179</v>
      </c>
    </row>
    <row r="549" spans="1:14" x14ac:dyDescent="0.25">
      <c r="A549" s="12" t="s">
        <v>19</v>
      </c>
      <c r="B549" s="2" t="s">
        <v>187</v>
      </c>
      <c r="C549" s="3" t="str">
        <f>HYPERLINK("https://transparencia-area-fim.mpce.mp.br/#/consulta/processo/pastadigital/092021000219739","09.2021.00021973-9")</f>
        <v>09.2021.00021973-9</v>
      </c>
      <c r="D549" s="4">
        <v>45950</v>
      </c>
      <c r="E549" s="16" t="str">
        <f>HYPERLINK("https://www8.mpce.mp.br/Empenhos/150001/Objeto/45-2021.pdf","EMPENHO REF. REAJUSTE RETROATIVO DO ALUGUEL DE IMÓVEL ONDE FUNCIONAM PROMOTORIAS DE JUSTIÇA DA COMARCA DE EUSÉBIO, CONF. CONTRATO 045/2021, REF. NOV (09DD) E DEZ/2024, CONF. TER"&amp;"MO DE RECONHECIMENTO DE DÍVIDA Nº 0031/2025/SEFIN. DEA: 2025NP000291.")</f>
        <v>EMPENHO REF. REAJUSTE RETROATIVO DO ALUGUEL DE IMÓVEL ONDE FUNCIONAM PROMOTORIAS DE JUSTIÇA DA COMARCA DE EUSÉBIO, CONF. CONTRATO 045/2021, REF. NOV (09DD) E DEZ/2024, CONF. TERMO DE RECONHECIMENTO DE DÍVIDA Nº 0031/2025/SEFIN. DEA: 2025NP000291.</v>
      </c>
      <c r="F549" s="2" t="s">
        <v>519</v>
      </c>
      <c r="G549" s="5" t="str">
        <f>HYPERLINK("https://siafe.sefaz.ce.gov.br/Siafe/downloadSignature?token=7738cc4a498b457da7fcce07ee4c136c","2025NE001708")</f>
        <v>2025NE001708</v>
      </c>
      <c r="H549" s="6">
        <v>118.99</v>
      </c>
      <c r="I549" s="7" t="s">
        <v>43</v>
      </c>
      <c r="J549" s="10" t="s">
        <v>186</v>
      </c>
      <c r="K549" t="str">
        <f>HYPERLINK("http://www8.mpce.mp.br/Empenhos/150501/NE/2024NE000583.pdf","2024NE000583")</f>
        <v>2024NE000583</v>
      </c>
      <c r="L549">
        <v>729.87</v>
      </c>
      <c r="M549" t="s">
        <v>43</v>
      </c>
      <c r="N549">
        <v>22588967000179</v>
      </c>
    </row>
    <row r="550" spans="1:14" x14ac:dyDescent="0.25">
      <c r="A550" s="12" t="s">
        <v>19</v>
      </c>
      <c r="B550" s="2" t="s">
        <v>187</v>
      </c>
      <c r="C550" s="3" t="str">
        <f>HYPERLINK("http://www8.mpce.mp.br/Dispensa/2150720189.pdf","21507/2018-9")</f>
        <v>21507/2018-9</v>
      </c>
      <c r="D550" s="4">
        <v>45950</v>
      </c>
      <c r="E550" s="16" t="str">
        <f>HYPERLINK("https://www8.mpce.mp.br/Empenhos/150001/Objeto/51-2019.pdf","EMPENHO REF. REAJUSTE RETROATIVO DO ALUGUEL DE IMÓVEL ONDE FUNCIONAM PROMOTORIAS DE JUSTIÇA DA COMARCA DE VIÇOSA DO CEARÁ, CONF. CONTRATO 051/2019 E TERMO DE RECONHECIMENTO DE D"&amp;"ÍVIDA, REF. AGO (19DD PROPOR.), SET, OUT, NOV E DEZ/2024. DEA: 2025NP000292.")</f>
        <v>EMPENHO REF. REAJUSTE RETROATIVO DO ALUGUEL DE IMÓVEL ONDE FUNCIONAM PROMOTORIAS DE JUSTIÇA DA COMARCA DE VIÇOSA DO CEARÁ, CONF. CONTRATO 051/2019 E TERMO DE RECONHECIMENTO DE DÍVIDA, REF. AGO (19DD PROPOR.), SET, OUT, NOV E DEZ/2024. DEA: 2025NP000292.</v>
      </c>
      <c r="F550" s="2" t="s">
        <v>367</v>
      </c>
      <c r="G550" s="5" t="str">
        <f>HYPERLINK("https://siafe.sefaz.ce.gov.br/Siafe/downloadSignature?token=5e97e53f65bd4908add95b4bb94a0d5e","2025NE001710")</f>
        <v>2025NE001710</v>
      </c>
      <c r="H550" s="6">
        <v>579.35</v>
      </c>
      <c r="I550" s="7" t="s">
        <v>98</v>
      </c>
      <c r="J550" s="10" t="s">
        <v>102</v>
      </c>
      <c r="K550" t="str">
        <f>HYPERLINK("http://www8.mpce.mp.br/Empenhos/150501/NE/2024NE000584.pdf","2024NE000584")</f>
        <v>2024NE000584</v>
      </c>
      <c r="L550">
        <v>152.37</v>
      </c>
      <c r="M550" t="s">
        <v>43</v>
      </c>
      <c r="N550">
        <v>22588967000179</v>
      </c>
    </row>
    <row r="551" spans="1:14" x14ac:dyDescent="0.25">
      <c r="A551" s="12" t="s">
        <v>159</v>
      </c>
      <c r="B551" s="2" t="s">
        <v>191</v>
      </c>
      <c r="C551" s="3" t="str">
        <f>HYPERLINK("https://transparencia-area-fim.mpce.mp.br/#/consulta/processo/pastadigital/092024000240032","09.2024.00024003-2")</f>
        <v>09.2024.00024003-2</v>
      </c>
      <c r="D551" s="4">
        <v>45950</v>
      </c>
      <c r="E551" s="16" t="str">
        <f>HYPERLINK("https://www8.mpce.mp.br/Empenhos/150001/Objeto/93-2024.pdf","EMPENHO REF. IPTU DE IMÓVEL ONDE FUNCIONAM PROMOTORIAS DE JUSTIÇA DA COMARCA DE IPU-CE, CONF. CONTRATO 093/2024, REF. 2025 - PARCELA ÚNICA.")</f>
        <v>EMPENHO REF. IPTU DE IMÓVEL ONDE FUNCIONAM PROMOTORIAS DE JUSTIÇA DA COMARCA DE IPU-CE, CONF. CONTRATO 093/2024, REF. 2025 - PARCELA ÚNICA.</v>
      </c>
      <c r="F551" s="2" t="s">
        <v>361</v>
      </c>
      <c r="G551" s="5" t="str">
        <f>HYPERLINK("https://siafe.sefaz.ce.gov.br/Siafe/downloadSignature?token=b051b3512fc34451b714d5d9ad685a5f","2025NE001711")</f>
        <v>2025NE001711</v>
      </c>
      <c r="H551" s="6">
        <v>198.79</v>
      </c>
      <c r="I551" s="7" t="s">
        <v>208</v>
      </c>
      <c r="J551" s="10" t="s">
        <v>209</v>
      </c>
      <c r="K551" t="str">
        <f>HYPERLINK("http://www8.mpce.mp.br/Empenhos/150501/NE/2024NE000585.pdf","2024NE000585")</f>
        <v>2024NE000585</v>
      </c>
      <c r="L551">
        <v>152.37</v>
      </c>
      <c r="M551" t="s">
        <v>43</v>
      </c>
      <c r="N551">
        <v>22588967000179</v>
      </c>
    </row>
    <row r="552" spans="1:14" x14ac:dyDescent="0.25">
      <c r="A552" s="12" t="s">
        <v>159</v>
      </c>
      <c r="B552" s="2" t="s">
        <v>532</v>
      </c>
      <c r="C552" s="3" t="str">
        <f>HYPERLINK("https://transparencia-area-fim.mpce.mp.br/#/consulta/processo/pastadigital/092025000143380","09.2025.00014338-0")</f>
        <v>09.2025.00014338-0</v>
      </c>
      <c r="D552" s="4">
        <v>45833</v>
      </c>
      <c r="E552" s="16" t="s">
        <v>540</v>
      </c>
      <c r="F552" s="2" t="s">
        <v>221</v>
      </c>
      <c r="G552" s="5" t="str">
        <f>HYPERLINK("https://siafe.sefaz.ce.gov.br/Siafe/downloadSignature?token=aefdefd845294bdc8dc35e9c984b1aac","2025NE001713")</f>
        <v>2025NE001713</v>
      </c>
      <c r="H552" s="6">
        <v>2991</v>
      </c>
      <c r="I552" s="7" t="s">
        <v>541</v>
      </c>
      <c r="J552" s="10" t="s">
        <v>542</v>
      </c>
      <c r="K552" t="str">
        <f>HYPERLINK("http://www8.mpce.mp.br/Empenhos/150501/NE/2024NE000586.pdf","2024NE000586")</f>
        <v>2024NE000586</v>
      </c>
      <c r="L552" s="13">
        <v>1387.47</v>
      </c>
      <c r="M552" t="s">
        <v>43</v>
      </c>
      <c r="N552">
        <v>22588967000179</v>
      </c>
    </row>
    <row r="553" spans="1:14" x14ac:dyDescent="0.25">
      <c r="A553" s="12" t="s">
        <v>19</v>
      </c>
      <c r="B553" s="2" t="s">
        <v>253</v>
      </c>
      <c r="C553" s="3" t="str">
        <f>HYPERLINK("https://transparencia-area-fim.mpce.mp.br/#/consulta/processo/pastadigital/092022000343829","09.2022.00034382-9")</f>
        <v>09.2022.00034382-9</v>
      </c>
      <c r="D553" s="4">
        <v>45951</v>
      </c>
      <c r="E553" s="16" t="str">
        <f>HYPERLINK("https://www8.mpce.mp.br/Empenhos/150001/Objeto/10-2023.pdf","EMPENHO REF. ALUGUEL DE IMÓVEL ONDE FUNCIONAM PROMOTORIAS DE JUSTIÇA DA COMARCA DE ITAPAJÉ, CONF. CONTRATO 010/2023, REF. OUT E NOV/2025.")</f>
        <v>EMPENHO REF. ALUGUEL DE IMÓVEL ONDE FUNCIONAM PROMOTORIAS DE JUSTIÇA DA COMARCA DE ITAPAJÉ, CONF. CONTRATO 010/2023, REF. OUT E NOV/2025.</v>
      </c>
      <c r="F553" s="2" t="s">
        <v>130</v>
      </c>
      <c r="G553" s="5" t="str">
        <f>HYPERLINK("https://siafe.sefaz.ce.gov.br/Siafe/downloadSignature?token=9e91b0bb51ea4d0e89504e4b2160b14c","2025NE001715")</f>
        <v>2025NE001715</v>
      </c>
      <c r="H553" s="6">
        <v>28519.279999999999</v>
      </c>
      <c r="I553" s="7" t="s">
        <v>747</v>
      </c>
      <c r="J553" s="10" t="s">
        <v>748</v>
      </c>
      <c r="K553" t="str">
        <f>HYPERLINK("http://www8.mpce.mp.br/Empenhos/150501/NE/2024NE000587.pdf","2024NE000587")</f>
        <v>2024NE000587</v>
      </c>
      <c r="L553">
        <v>152.32</v>
      </c>
      <c r="M553" t="s">
        <v>29</v>
      </c>
      <c r="N553">
        <v>5569807000163</v>
      </c>
    </row>
    <row r="554" spans="1:14" x14ac:dyDescent="0.25">
      <c r="A554" s="12" t="s">
        <v>159</v>
      </c>
      <c r="B554" s="2" t="s">
        <v>220</v>
      </c>
      <c r="C554" s="3" t="str">
        <f>HYPERLINK("https://transparencia-area-fim.mpce.mp.br/#/consulta/processo/pastadigital/092023000385590","09.2023.00038559-0")</f>
        <v>09.2023.00038559-0</v>
      </c>
      <c r="D554" s="4">
        <v>45951</v>
      </c>
      <c r="E554" s="16" t="str">
        <f>HYPERLINK("https://www8.mpce.mp.br/Empenhos/150001/Objeto/25-2024.pdf","EMPENHO REF. LICENÇAS DE ACESSO ÀS PLATAFORMAS WELLZ E WELLHUB, PARA MEMBROS E SERVIDORES DO MPCE, CONF. CONTRATO 025/2024, REF. OUT E NOV/2025, POR ESTIMATIVA.")</f>
        <v>EMPENHO REF. LICENÇAS DE ACESSO ÀS PLATAFORMAS WELLZ E WELLHUB, PARA MEMBROS E SERVIDORES DO MPCE, CONF. CONTRATO 025/2024, REF. OUT E NOV/2025, POR ESTIMATIVA.</v>
      </c>
      <c r="F554" s="2" t="s">
        <v>228</v>
      </c>
      <c r="G554" s="5" t="str">
        <f>HYPERLINK("https://siafe.sefaz.ce.gov.br/Siafe/downloadSignature?token=ccff99c35a524e0ebcead59a952d4171","2025NE001717")</f>
        <v>2025NE001717</v>
      </c>
      <c r="H554" s="6">
        <v>107696.68</v>
      </c>
      <c r="I554" s="7" t="s">
        <v>57</v>
      </c>
      <c r="J554" s="10" t="s">
        <v>242</v>
      </c>
      <c r="K554" t="str">
        <f>HYPERLINK("http://www8.mpce.mp.br/Empenhos/150501/NE/2024NE000588.pdf","2024NE000588")</f>
        <v>2024NE000588</v>
      </c>
      <c r="L554" s="13">
        <v>7804.65</v>
      </c>
      <c r="M554" t="s">
        <v>39</v>
      </c>
      <c r="N554">
        <v>5817870304</v>
      </c>
    </row>
    <row r="555" spans="1:14" x14ac:dyDescent="0.25">
      <c r="A555" s="12" t="s">
        <v>159</v>
      </c>
      <c r="B555" s="2" t="s">
        <v>543</v>
      </c>
      <c r="C555" s="3" t="str">
        <f>HYPERLINK("https://transparencia-area-fim.mpce.mp.br/#/consulta/processo/pastadigital/092025000138988","09.2025.00013898-8")</f>
        <v>09.2025.00013898-8</v>
      </c>
      <c r="D555" s="4">
        <v>45834</v>
      </c>
      <c r="E555" s="16" t="s">
        <v>544</v>
      </c>
      <c r="F555" s="2" t="s">
        <v>221</v>
      </c>
      <c r="G555" s="5" t="str">
        <f>HYPERLINK("https://siafe.sefaz.ce.gov.br/Siafe/downloadSignature?token=e051d86b62714386ab44cb5225f9c1c4","2025NE001719")</f>
        <v>2025NE001719</v>
      </c>
      <c r="H555" s="6">
        <v>1500</v>
      </c>
      <c r="I555" s="7" t="s">
        <v>545</v>
      </c>
      <c r="J555" s="10" t="s">
        <v>546</v>
      </c>
      <c r="K555" t="str">
        <f>HYPERLINK("http://www8.mpce.mp.br/Empenhos/150501/NE/2024NE000589.pdf","2024NE000589")</f>
        <v>2024NE000589</v>
      </c>
      <c r="L555" s="13">
        <v>16200</v>
      </c>
      <c r="M555" t="s">
        <v>94</v>
      </c>
      <c r="N555">
        <v>33457311000133</v>
      </c>
    </row>
    <row r="556" spans="1:14" x14ac:dyDescent="0.25">
      <c r="A556" s="12" t="s">
        <v>159</v>
      </c>
      <c r="B556" s="2" t="s">
        <v>715</v>
      </c>
      <c r="C556" s="3" t="str">
        <f>HYPERLINK("https://transparencia-area-fim.mpce.mp.br/#/consulta/processo/pastadigital/092025000248550","09.2025.00024855-0")</f>
        <v>09.2025.00024855-0</v>
      </c>
      <c r="D556" s="4">
        <v>45952</v>
      </c>
      <c r="E556" s="16" t="s">
        <v>749</v>
      </c>
      <c r="F556" s="2" t="s">
        <v>228</v>
      </c>
      <c r="G556" s="5" t="str">
        <f>HYPERLINK("https://siafe.sefaz.ce.gov.br/Siafe/downloadSignature?token=f859216efa724f00a837c79d16737e06","2025NE001728")</f>
        <v>2025NE001728</v>
      </c>
      <c r="H556" s="6">
        <v>9552</v>
      </c>
      <c r="I556" s="7" t="s">
        <v>750</v>
      </c>
      <c r="J556" s="10" t="s">
        <v>751</v>
      </c>
      <c r="K556" t="str">
        <f>HYPERLINK("http://www8.mpce.mp.br/Empenhos/150501/NE/2024NE000590.pdf","2024NE000590")</f>
        <v>2024NE000590</v>
      </c>
      <c r="L556" s="13">
        <v>3600</v>
      </c>
      <c r="M556" t="s">
        <v>44</v>
      </c>
      <c r="N556">
        <v>31014895391</v>
      </c>
    </row>
    <row r="557" spans="1:14" x14ac:dyDescent="0.25">
      <c r="A557" s="12" t="s">
        <v>159</v>
      </c>
      <c r="B557" s="2" t="s">
        <v>317</v>
      </c>
      <c r="C557" s="3" t="str">
        <f>HYPERLINK("https://transparencia-area-fim.mpce.mp.br/#/consulta/processo/pastadigital/092025000175528","09.2025.00017552-8")</f>
        <v>09.2025.00017552-8</v>
      </c>
      <c r="D557" s="4">
        <v>45957</v>
      </c>
      <c r="E557" s="16" t="s">
        <v>752</v>
      </c>
      <c r="F557" s="2" t="s">
        <v>221</v>
      </c>
      <c r="G557" s="5" t="str">
        <f>HYPERLINK("https://siafe.sefaz.ce.gov.br/Siafe/downloadSignature?token=3a0e4f956dbc4de5ab55d0f6b35e535b","2025NE001729")</f>
        <v>2025NE001729</v>
      </c>
      <c r="H557" s="6">
        <v>8080</v>
      </c>
      <c r="I557" s="7" t="s">
        <v>609</v>
      </c>
      <c r="J557" s="10" t="s">
        <v>610</v>
      </c>
      <c r="K557" t="str">
        <f>HYPERLINK("http://www8.mpce.mp.br/Empenhos/150501/NE/2024NE000591.pdf","2024NE000591")</f>
        <v>2024NE000591</v>
      </c>
      <c r="L557" s="13">
        <v>4953.45</v>
      </c>
      <c r="M557" t="s">
        <v>40</v>
      </c>
      <c r="N557">
        <v>50937197300</v>
      </c>
    </row>
    <row r="558" spans="1:14" x14ac:dyDescent="0.25">
      <c r="A558" s="12" t="s">
        <v>19</v>
      </c>
      <c r="B558" s="2" t="s">
        <v>243</v>
      </c>
      <c r="C558" s="3" t="str">
        <f>HYPERLINK("https://transparencia-area-fim.mpce.mp.br/#/consulta/processo/pastadigital/092025000206082","09.2025.00020608-2")</f>
        <v>09.2025.00020608-2</v>
      </c>
      <c r="D558" s="4">
        <v>45964</v>
      </c>
      <c r="E558" s="16" t="str">
        <f>HYPERLINK("https://www8.mpce.mp.br/Empenhos/150001/Objeto/39-2025.pdf","EMPENHO REF. FORNECIMENTO DE PRODUTOS E DE DIVERSOS SERVIÇOS DOS CORREIOS POR MEIO DOS CANAIS DE ATENDIMENTO DISPONIBILIZADOS, CONF. CONTRATO 023/2020, REF. OUT E NOV/2025, POR "&amp;"ESTIMATIVA.")</f>
        <v>EMPENHO REF. FORNECIMENTO DE PRODUTOS E DE DIVERSOS SERVIÇOS DOS CORREIOS POR MEIO DOS CANAIS DE ATENDIMENTO DISPONIBILIZADOS, CONF. CONTRATO 023/2020, REF. OUT E NOV/2025, POR ESTIMATIVA.</v>
      </c>
      <c r="F558" s="2" t="s">
        <v>206</v>
      </c>
      <c r="G558" s="5" t="str">
        <f>HYPERLINK("https://siafe.sefaz.ce.gov.br/Siafe/downloadSignature?token=2abf7ed62f4740d6be190dac2389fbae","2025NE001742")</f>
        <v>2025NE001742</v>
      </c>
      <c r="H558" s="6">
        <v>20516.13</v>
      </c>
      <c r="I558" s="7" t="s">
        <v>50</v>
      </c>
      <c r="J558" s="10" t="s">
        <v>207</v>
      </c>
      <c r="K558" t="str">
        <f>HYPERLINK("http://www8.mpce.mp.br/Empenhos/150501/NE/2024NE000592.pdf","2024NE000592")</f>
        <v>2024NE000592</v>
      </c>
      <c r="L558" s="13">
        <v>4650</v>
      </c>
      <c r="M558" t="s">
        <v>45</v>
      </c>
      <c r="N558">
        <v>84738480391</v>
      </c>
    </row>
    <row r="559" spans="1:14" x14ac:dyDescent="0.25">
      <c r="A559" s="12" t="s">
        <v>159</v>
      </c>
      <c r="B559" s="2" t="s">
        <v>547</v>
      </c>
      <c r="C559" s="3" t="str">
        <f>HYPERLINK("https://transparencia-area-fim.mpce.mp.br/#/consulta/processo/pastadigital/092025000158730","09.2025.00015873-0")</f>
        <v>09.2025.00015873-0</v>
      </c>
      <c r="D559" s="4">
        <v>45838</v>
      </c>
      <c r="E559" s="16" t="s">
        <v>548</v>
      </c>
      <c r="F559" s="2" t="s">
        <v>221</v>
      </c>
      <c r="G559" s="5" t="str">
        <f>HYPERLINK("https://siafe.sefaz.ce.gov.br/Siafe/downloadSignature?token=c466defacdbe4a338974c6de1d0313ac","2025NE001744")</f>
        <v>2025NE001744</v>
      </c>
      <c r="H559" s="6">
        <v>12548</v>
      </c>
      <c r="I559" s="7" t="s">
        <v>549</v>
      </c>
      <c r="J559" s="10" t="s">
        <v>550</v>
      </c>
      <c r="K559" t="str">
        <f>HYPERLINK("http://www8.mpce.mp.br/Empenhos/150501/NE/2024NE000593.pdf","2024NE000593")</f>
        <v>2024NE000593</v>
      </c>
      <c r="L559">
        <v>148.52000000000001</v>
      </c>
      <c r="M559" t="s">
        <v>79</v>
      </c>
      <c r="N559">
        <v>48444032000102</v>
      </c>
    </row>
    <row r="560" spans="1:14" x14ac:dyDescent="0.25">
      <c r="A560" s="12" t="s">
        <v>19</v>
      </c>
      <c r="B560" s="2" t="s">
        <v>187</v>
      </c>
      <c r="C560" s="3" t="str">
        <f>HYPERLINK("https://transparencia-area-fim.mpce.mp.br/#/consulta/processo/pastadigital/092022000343751","09.2022.00034375-1")</f>
        <v>09.2022.00034375-1</v>
      </c>
      <c r="D560" s="4">
        <v>45957</v>
      </c>
      <c r="E560" s="16" t="str">
        <f>HYPERLINK("https://www8.mpce.mp.br/Empenhos/150001/Objeto/08-2023.pdf","EMPENHO REF. ALUGUEL DE IMÓVEL ONDE FUNCIONAM PROMOTORIAS DE JUSTIÇA DA COMARCA DE QUIXERAMOBIM, CONF. CONTRATO 041/2021, REF. OUT E NOV/2025, POR ESTIMATIVA.")</f>
        <v>EMPENHO REF. ALUGUEL DE IMÓVEL ONDE FUNCIONAM PROMOTORIAS DE JUSTIÇA DA COMARCA DE QUIXERAMOBIM, CONF. CONTRATO 041/2021, REF. OUT E NOV/2025, POR ESTIMATIVA.</v>
      </c>
      <c r="F560" s="2" t="s">
        <v>130</v>
      </c>
      <c r="G560" s="5" t="str">
        <f>HYPERLINK("https://siafe.sefaz.ce.gov.br/Siafe/downloadSignature?token=6c49c06f133d49a988caef1998abb160","2025NE001753")</f>
        <v>2025NE001753</v>
      </c>
      <c r="H560" s="6">
        <v>29552</v>
      </c>
      <c r="I560" s="7" t="s">
        <v>753</v>
      </c>
      <c r="J560" s="10" t="s">
        <v>754</v>
      </c>
      <c r="K560" t="str">
        <f>HYPERLINK("http://www8.mpce.mp.br/Empenhos/150501/NE/2024NE000594.pdf","2024NE000594")</f>
        <v>2024NE000594</v>
      </c>
      <c r="L560" s="13">
        <v>11691.72</v>
      </c>
      <c r="M560" t="s">
        <v>49</v>
      </c>
      <c r="N560">
        <v>1728735335</v>
      </c>
    </row>
    <row r="561" spans="1:14" x14ac:dyDescent="0.25">
      <c r="A561" s="12" t="s">
        <v>159</v>
      </c>
      <c r="B561" s="2" t="s">
        <v>258</v>
      </c>
      <c r="C561" s="3" t="str">
        <f>HYPERLINK("https://transparencia-area-fim.mpce.mp.br/#/consulta/processo/pastadigital/092025000182507","09.2025.00018250-7")</f>
        <v>09.2025.00018250-7</v>
      </c>
      <c r="D561" s="4">
        <v>45839</v>
      </c>
      <c r="E561" s="17" t="s">
        <v>551</v>
      </c>
      <c r="F561" s="2" t="s">
        <v>255</v>
      </c>
      <c r="G561" s="5" t="str">
        <f>HYPERLINK("https://siafe.sefaz.ce.gov.br/Siafe/downloadSignature?token=45ef3147ffa441cea0207e930301e4fa","2025NE001764")</f>
        <v>2025NE001764</v>
      </c>
      <c r="H561" s="6">
        <v>117.84</v>
      </c>
      <c r="I561" s="7" t="s">
        <v>76</v>
      </c>
      <c r="J561" s="10" t="s">
        <v>288</v>
      </c>
      <c r="K561" t="str">
        <f>HYPERLINK("http://www8.mpce.mp.br/Empenhos/150501/NE/2024NE000595.pdf","2024NE000595")</f>
        <v>2024NE000595</v>
      </c>
      <c r="L561" s="13">
        <v>7500</v>
      </c>
      <c r="M561" t="s">
        <v>46</v>
      </c>
      <c r="N561">
        <v>7136315387</v>
      </c>
    </row>
    <row r="562" spans="1:14" x14ac:dyDescent="0.25">
      <c r="A562" s="12" t="s">
        <v>159</v>
      </c>
      <c r="B562" s="2" t="s">
        <v>258</v>
      </c>
      <c r="C562" s="3" t="str">
        <f>HYPERLINK("https://transparencia-area-fim.mpce.mp.br/#/consulta/processo/pastadigital/092025000182518","09.2025.00018251-8")</f>
        <v>09.2025.00018251-8</v>
      </c>
      <c r="D562" s="4">
        <v>45839</v>
      </c>
      <c r="E562" s="16" t="s">
        <v>552</v>
      </c>
      <c r="F562" s="2" t="s">
        <v>255</v>
      </c>
      <c r="G562" s="5" t="str">
        <f>HYPERLINK("https://siafe.sefaz.ce.gov.br/Siafe/downloadSignature?token=59f938d72aae47deba6a27d9195e70ed","2025NE001765")</f>
        <v>2025NE001765</v>
      </c>
      <c r="H562" s="6">
        <v>595.16999999999996</v>
      </c>
      <c r="I562" s="7" t="s">
        <v>77</v>
      </c>
      <c r="J562" s="10" t="s">
        <v>289</v>
      </c>
      <c r="K562" t="str">
        <f>HYPERLINK("http://www8.mpce.mp.br/Empenhos/150501/NE/2024NE000596.pdf","2024NE000596")</f>
        <v>2024NE000596</v>
      </c>
      <c r="L562" s="13">
        <v>6000</v>
      </c>
      <c r="M562" t="s">
        <v>47</v>
      </c>
      <c r="N562">
        <v>78214130387</v>
      </c>
    </row>
    <row r="563" spans="1:14" x14ac:dyDescent="0.25">
      <c r="A563" s="12" t="s">
        <v>19</v>
      </c>
      <c r="B563" s="2" t="s">
        <v>200</v>
      </c>
      <c r="C563" s="3" t="str">
        <f>HYPERLINK("https://transparencia-area-fim.mpce.mp.br/#/consulta/processo/pastadigital/092024000041060","09.2024.00004106-0")</f>
        <v>09.2024.00004106-0</v>
      </c>
      <c r="D563" s="4">
        <v>45954</v>
      </c>
      <c r="E563" s="16" t="str">
        <f>HYPERLINK("https://www8.mpce.mp.br/Empenhos/150001/Objeto/95-2024.pdf","EMPENHO REF. CHIPS DA VIVO, CONF. CONTRATO 095/2024, REF. OUT E NOV/2025, POR ESTIMATIVA.")</f>
        <v>EMPENHO REF. CHIPS DA VIVO, CONF. CONTRATO 095/2024, REF. OUT E NOV/2025, POR ESTIMATIVA.</v>
      </c>
      <c r="F563" s="2" t="s">
        <v>291</v>
      </c>
      <c r="G563" s="5" t="str">
        <f>HYPERLINK("https://siafe.sefaz.ce.gov.br/Siafe/downloadSignature?token=7c2743fae3594e85b89717a2938ba864","2025NE001765")</f>
        <v>2025NE001765</v>
      </c>
      <c r="H563" s="6">
        <v>4210</v>
      </c>
      <c r="I563" s="7" t="s">
        <v>292</v>
      </c>
      <c r="J563" s="10" t="s">
        <v>293</v>
      </c>
      <c r="K563" t="str">
        <f>HYPERLINK("http://www8.mpce.mp.br/Empenhos/150501/NE/2024NE000597.pdf","2024NE000597")</f>
        <v>2024NE000597</v>
      </c>
      <c r="L563" s="13">
        <v>4500</v>
      </c>
      <c r="M563" t="s">
        <v>32</v>
      </c>
      <c r="N563">
        <v>91495059391</v>
      </c>
    </row>
    <row r="564" spans="1:14" x14ac:dyDescent="0.25">
      <c r="A564" s="12" t="s">
        <v>159</v>
      </c>
      <c r="B564" s="2" t="s">
        <v>258</v>
      </c>
      <c r="C564" s="3" t="str">
        <f>HYPERLINK("https://transparencia-area-fim.mpce.mp.br/#/consulta/processo/pastadigital/092025000182529","09.2025.00018252-9")</f>
        <v>09.2025.00018252-9</v>
      </c>
      <c r="D564" s="4">
        <v>45839</v>
      </c>
      <c r="E564" s="16" t="s">
        <v>553</v>
      </c>
      <c r="F564" s="2" t="s">
        <v>255</v>
      </c>
      <c r="G564" s="5" t="str">
        <f>HYPERLINK("https://siafe.sefaz.ce.gov.br/Siafe/downloadSignature?token=ea38613c0d54451eb611ad2ec6e4fd46","2025NE001766")</f>
        <v>2025NE001766</v>
      </c>
      <c r="H564" s="6">
        <v>900</v>
      </c>
      <c r="I564" s="7" t="s">
        <v>78</v>
      </c>
      <c r="J564" s="10" t="s">
        <v>295</v>
      </c>
      <c r="K564" t="str">
        <f>HYPERLINK("http://www8.mpce.mp.br/Empenhos/150501/NE/2024NE000599.pdf","2024NE000599")</f>
        <v>2024NE000599</v>
      </c>
      <c r="L564" s="13">
        <v>2400</v>
      </c>
      <c r="M564" t="s">
        <v>33</v>
      </c>
      <c r="N564">
        <v>19556292349</v>
      </c>
    </row>
    <row r="565" spans="1:14" x14ac:dyDescent="0.25">
      <c r="A565" s="12" t="s">
        <v>159</v>
      </c>
      <c r="B565" s="2" t="s">
        <v>583</v>
      </c>
      <c r="C565" s="3" t="str">
        <f>HYPERLINK("https://transparencia-area-fim.mpce.mp.br/#/consulta/processo/pastadigital/092025000283070","09.2025.00028307-0")</f>
        <v>09.2025.00028307-0</v>
      </c>
      <c r="D565" s="4">
        <v>45954</v>
      </c>
      <c r="E565" s="16" t="str">
        <f>HYPERLINK("https://www8.mpce.mp.br/Empenhos/150001/Objeto/-2024-1.pdf","EMPENHO REF. SERVIÇOS DE EXTENSÃO DE GARANTIA PARA SOFTWARES INTEGRADOS A EQUIPAMENTOS DO DATACENTER DA PGJ, CONF. CONTRATO 003/2024, REF. OUT E NOV/2025, POR ESTIMATIVA.")</f>
        <v>EMPENHO REF. SERVIÇOS DE EXTENSÃO DE GARANTIA PARA SOFTWARES INTEGRADOS A EQUIPAMENTOS DO DATACENTER DA PGJ, CONF. CONTRATO 003/2024, REF. OUT E NOV/2025, POR ESTIMATIVA.</v>
      </c>
      <c r="F565" s="2" t="s">
        <v>233</v>
      </c>
      <c r="G565" s="5" t="str">
        <f>HYPERLINK("http://www8.mpce.mp.br/Empenhos/150501/NE/2025NE001766.pdf","2025NE001766")</f>
        <v>2025NE001766</v>
      </c>
      <c r="H565" s="6">
        <v>2933.64</v>
      </c>
      <c r="I565" s="7" t="s">
        <v>56</v>
      </c>
      <c r="J565" s="10" t="s">
        <v>234</v>
      </c>
      <c r="K565" t="str">
        <f>HYPERLINK("http://www8.mpce.mp.br/Empenhos/150501/NE/2024NE000603.pdf","2024NE000603")</f>
        <v>2024NE000603</v>
      </c>
      <c r="L565" s="13">
        <v>1350000</v>
      </c>
      <c r="M565" t="s">
        <v>84</v>
      </c>
      <c r="N565">
        <v>5757597000218</v>
      </c>
    </row>
    <row r="566" spans="1:14" x14ac:dyDescent="0.25">
      <c r="A566" s="12" t="s">
        <v>159</v>
      </c>
      <c r="B566" s="2" t="s">
        <v>258</v>
      </c>
      <c r="C566" s="3" t="str">
        <f>HYPERLINK("https://transparencia-area-fim.mpce.mp.br/#/consulta/processo/pastadigital/092025000182540","09.2025.00018254-0")</f>
        <v>09.2025.00018254-0</v>
      </c>
      <c r="D566" s="4">
        <v>45839</v>
      </c>
      <c r="E566" s="16" t="s">
        <v>554</v>
      </c>
      <c r="F566" s="2" t="s">
        <v>255</v>
      </c>
      <c r="G566" s="5" t="str">
        <f>HYPERLINK("https://siafe.sefaz.ce.gov.br/Siafe/downloadSignature?token=d0735c33dde845a7b49096353a7c782a","2025NE001767")</f>
        <v>2025NE001767</v>
      </c>
      <c r="H566" s="6">
        <v>386.76</v>
      </c>
      <c r="I566" s="7" t="s">
        <v>82</v>
      </c>
      <c r="J566" s="10" t="s">
        <v>299</v>
      </c>
      <c r="K566" t="str">
        <f>HYPERLINK("http://www8.mpce.mp.br/Empenhos/150501/NE/2024NE000603.pdf","2024NE000603")</f>
        <v>2024NE000603</v>
      </c>
      <c r="L566" s="13">
        <v>1350000</v>
      </c>
      <c r="M566" t="s">
        <v>84</v>
      </c>
      <c r="N566">
        <v>5757597000218</v>
      </c>
    </row>
    <row r="567" spans="1:14" x14ac:dyDescent="0.25">
      <c r="A567" s="12" t="s">
        <v>159</v>
      </c>
      <c r="B567" s="2" t="s">
        <v>220</v>
      </c>
      <c r="C567" s="3" t="str">
        <f>HYPERLINK("https://transparencia-area-fim.mpce.mp.br/#/consulta/processo/pastadigital/092023000287946","09.2023.00028794-6")</f>
        <v>09.2023.00028794-6</v>
      </c>
      <c r="D567" s="4">
        <v>45954</v>
      </c>
      <c r="E567" s="16" t="str">
        <f>HYPERLINK("https://www8.mpce.mp.br/Empenhos/150001/Objeto/59-2023.pdf","EMPENHO REF. LICENÇAS DE SOFTWARE, INCLUINDO IMPLANTAÇÃO, TREINAMENTO, ATUALIZAÇÃO E SUPORTE TÉCNICO, CONF. CONTRATO 059/2023, REF. OUT E NOV/2025, POR ESTIMATIVA.")</f>
        <v>EMPENHO REF. LICENÇAS DE SOFTWARE, INCLUINDO IMPLANTAÇÃO, TREINAMENTO, ATUALIZAÇÃO E SUPORTE TÉCNICO, CONF. CONTRATO 059/2023, REF. OUT E NOV/2025, POR ESTIMATIVA.</v>
      </c>
      <c r="F567" s="2" t="s">
        <v>228</v>
      </c>
      <c r="G567" s="5" t="str">
        <f>HYPERLINK("https://siafe.sefaz.ce.gov.br/Siafe/downloadSignature?token=c1c0134af4cc493d9a95281646e6ddee","2025NE001767")</f>
        <v>2025NE001767</v>
      </c>
      <c r="H567" s="6">
        <v>5063</v>
      </c>
      <c r="I567" s="7" t="s">
        <v>54</v>
      </c>
      <c r="J567" s="10" t="s">
        <v>229</v>
      </c>
      <c r="K567" t="str">
        <f>HYPERLINK("http://www8.mpce.mp.br/Empenhos/150501/NE/2024NE000617.pdf","2024NE000617")</f>
        <v>2024NE000617</v>
      </c>
      <c r="L567" s="13">
        <v>4200</v>
      </c>
      <c r="M567" t="s">
        <v>97</v>
      </c>
      <c r="N567">
        <v>50591630320</v>
      </c>
    </row>
    <row r="568" spans="1:14" x14ac:dyDescent="0.25">
      <c r="A568" s="12" t="s">
        <v>159</v>
      </c>
      <c r="B568" s="2" t="s">
        <v>258</v>
      </c>
      <c r="C568" s="3" t="str">
        <f>HYPERLINK("https://transparencia-area-fim.mpce.mp.br/#/consulta/processo/pastadigital/092025000182551","09.2025.00018255-1")</f>
        <v>09.2025.00018255-1</v>
      </c>
      <c r="D568" s="4">
        <v>45839</v>
      </c>
      <c r="E568" s="16" t="s">
        <v>555</v>
      </c>
      <c r="F568" s="2" t="s">
        <v>255</v>
      </c>
      <c r="G568" s="5" t="str">
        <f>HYPERLINK("https://siafe.sefaz.ce.gov.br/Siafe/downloadSignature?token=ee83fd58117940c991eaa704d9c94bad","2025NE001768")</f>
        <v>2025NE001768</v>
      </c>
      <c r="H568" s="6">
        <v>278.85000000000002</v>
      </c>
      <c r="I568" s="7" t="s">
        <v>61</v>
      </c>
      <c r="J568" s="10" t="s">
        <v>256</v>
      </c>
      <c r="K568" t="str">
        <f>HYPERLINK("http://www8.mpce.mp.br/Empenhos/150001/NE/2024NE000619.pdf","2024NE000619")</f>
        <v>2024NE000619</v>
      </c>
      <c r="L568">
        <v>117.84</v>
      </c>
      <c r="M568" t="s">
        <v>76</v>
      </c>
      <c r="N568">
        <v>7620701000172</v>
      </c>
    </row>
    <row r="569" spans="1:14" x14ac:dyDescent="0.25">
      <c r="A569" s="12" t="s">
        <v>159</v>
      </c>
      <c r="B569" s="2" t="s">
        <v>258</v>
      </c>
      <c r="C569" s="3" t="str">
        <f>HYPERLINK("https://transparencia-area-fim.mpce.mp.br/#/consulta/processo/pastadigital/092025000182530","09.2025.00018253-0")</f>
        <v>09.2025.00018253-0</v>
      </c>
      <c r="D569" s="4">
        <v>45839</v>
      </c>
      <c r="E569" s="16" t="s">
        <v>556</v>
      </c>
      <c r="F569" s="2" t="s">
        <v>255</v>
      </c>
      <c r="G569" s="5" t="str">
        <f>HYPERLINK("https://siafe.sefaz.ce.gov.br/Siafe/downloadSignature?token=1ae6318330da45769377803f6fbecfbe","2025NE001769")</f>
        <v>2025NE001769</v>
      </c>
      <c r="H569" s="6">
        <v>74.52</v>
      </c>
      <c r="I569" s="7" t="s">
        <v>81</v>
      </c>
      <c r="J569" s="10" t="s">
        <v>297</v>
      </c>
      <c r="K569" t="str">
        <f>HYPERLINK("http://www8.mpce.mp.br/Empenhos/150001/NE/2024NE000620.pdf","2024NE000620")</f>
        <v>2024NE000620</v>
      </c>
      <c r="L569">
        <v>608.22</v>
      </c>
      <c r="M569" t="s">
        <v>77</v>
      </c>
      <c r="N569">
        <v>7113566000179</v>
      </c>
    </row>
    <row r="570" spans="1:14" x14ac:dyDescent="0.25">
      <c r="A570" s="12" t="s">
        <v>159</v>
      </c>
      <c r="B570" s="2" t="s">
        <v>583</v>
      </c>
      <c r="C570" s="3" t="str">
        <f>HYPERLINK("https://transparencia-area-fim.mpce.mp.br/#/consulta/processo/pastadigital/092023000254844","09.2023.00025484-4")</f>
        <v>09.2023.00025484-4</v>
      </c>
      <c r="D570" s="4">
        <v>45954</v>
      </c>
      <c r="E570" s="16" t="str">
        <f>HYPERLINK("https://www8.mpce.mp.br/Empenhos/150001/Objeto/03-2024.pdf","EMPENHO REF. SERVIÇOS DE MANUTENÇÃO PARA EQUIPAMENTOS DE COMPUTAÇÃO, INCLUINDO O SERVIÇO DE MANUTENÇÃO TÉCNICO REMOTO, CONF. CONTRATO 003/2024, REF. OUT E NOV/2025, POR ESTIMATIVA.")</f>
        <v>EMPENHO REF. SERVIÇOS DE MANUTENÇÃO PARA EQUIPAMENTOS DE COMPUTAÇÃO, INCLUINDO O SERVIÇO DE MANUTENÇÃO TÉCNICO REMOTO, CONF. CONTRATO 003/2024, REF. OUT E NOV/2025, POR ESTIMATIVA.</v>
      </c>
      <c r="F570" s="2" t="s">
        <v>233</v>
      </c>
      <c r="G570" s="5" t="str">
        <f>HYPERLINK("https://siafe.sefaz.ce.gov.br/Siafe/downloadSignature?token=994654fcf698488cb13601550033fec3","2025NE001769")</f>
        <v>2025NE001769</v>
      </c>
      <c r="H570" s="6">
        <v>3897.52</v>
      </c>
      <c r="I570" s="7" t="s">
        <v>56</v>
      </c>
      <c r="J570" s="10" t="s">
        <v>335</v>
      </c>
      <c r="K570" t="str">
        <f>HYPERLINK("http://www8.mpce.mp.br/Empenhos/150501/NE/2024NE000622.pdf","2024NE000622")</f>
        <v>2024NE000622</v>
      </c>
      <c r="L570" s="13">
        <v>342949.76</v>
      </c>
      <c r="M570" t="s">
        <v>51</v>
      </c>
      <c r="N570">
        <v>3773788000167</v>
      </c>
    </row>
    <row r="571" spans="1:14" x14ac:dyDescent="0.25">
      <c r="A571" s="12" t="s">
        <v>159</v>
      </c>
      <c r="B571" s="2" t="s">
        <v>258</v>
      </c>
      <c r="C571" s="3" t="str">
        <f>HYPERLINK("https://transparencia-area-fim.mpce.mp.br/#/consulta/processo/pastadigital/092025000182562","09.2025.00018256-2")</f>
        <v>09.2025.00018256-2</v>
      </c>
      <c r="D571" s="4">
        <v>45839</v>
      </c>
      <c r="E571" s="16" t="s">
        <v>557</v>
      </c>
      <c r="F571" s="2" t="s">
        <v>255</v>
      </c>
      <c r="G571" s="5" t="str">
        <f>HYPERLINK("https://siafe.sefaz.ce.gov.br/Siafe/downloadSignature?token=35c7b365d0704e2ebf6fce694e2af3c2","2025NE001770")</f>
        <v>2025NE001770</v>
      </c>
      <c r="H571" s="6">
        <v>399.96</v>
      </c>
      <c r="I571" s="7" t="s">
        <v>64</v>
      </c>
      <c r="J571" s="10" t="s">
        <v>260</v>
      </c>
      <c r="K571" t="str">
        <f>HYPERLINK("http://www8.mpce.mp.br/Empenhos/150001/NE/2024NE000622.pdf","2024NE000622")</f>
        <v>2024NE000622</v>
      </c>
      <c r="L571">
        <v>450</v>
      </c>
      <c r="M571" t="s">
        <v>78</v>
      </c>
      <c r="N571">
        <v>45898856000164</v>
      </c>
    </row>
    <row r="572" spans="1:14" x14ac:dyDescent="0.25">
      <c r="A572" s="12" t="s">
        <v>159</v>
      </c>
      <c r="B572" s="2" t="s">
        <v>258</v>
      </c>
      <c r="C572" s="3" t="str">
        <f>HYPERLINK("https://transparencia-area-fim.mpce.mp.br/#/consulta/processo/pastadigital/092025000182573","09.2025.00018257-3")</f>
        <v>09.2025.00018257-3</v>
      </c>
      <c r="D572" s="4">
        <v>45839</v>
      </c>
      <c r="E572" s="16" t="s">
        <v>558</v>
      </c>
      <c r="F572" s="2" t="s">
        <v>255</v>
      </c>
      <c r="G572" s="5" t="str">
        <f>HYPERLINK("https://siafe.sefaz.ce.gov.br/Siafe/downloadSignature?token=48b4e4db2efc4e7b87e11557d5195501","2025NE001772")</f>
        <v>2025NE001772</v>
      </c>
      <c r="H572" s="6">
        <v>188.73</v>
      </c>
      <c r="I572" s="7" t="s">
        <v>65</v>
      </c>
      <c r="J572" s="10" t="s">
        <v>262</v>
      </c>
      <c r="K572" t="str">
        <f>HYPERLINK("http://www8.mpce.mp.br/Empenhos/150501/NE/2024NE000623.pdf","2024NE000623")</f>
        <v>2024NE000623</v>
      </c>
      <c r="L572">
        <v>729.87</v>
      </c>
      <c r="M572" t="s">
        <v>43</v>
      </c>
      <c r="N572">
        <v>22588967000179</v>
      </c>
    </row>
    <row r="573" spans="1:14" x14ac:dyDescent="0.25">
      <c r="A573" s="12" t="s">
        <v>159</v>
      </c>
      <c r="B573" s="2" t="s">
        <v>258</v>
      </c>
      <c r="C573" s="3" t="str">
        <f>HYPERLINK("https://transparencia-area-fim.mpce.mp.br/#/consulta/processo/pastadigital/092025000182584","09.2025.00018258-4")</f>
        <v>09.2025.00018258-4</v>
      </c>
      <c r="D573" s="4">
        <v>45839</v>
      </c>
      <c r="E573" s="16" t="s">
        <v>559</v>
      </c>
      <c r="F573" s="2" t="s">
        <v>255</v>
      </c>
      <c r="G573" s="5" t="str">
        <f>HYPERLINK("https://siafe.sefaz.ce.gov.br/Siafe/downloadSignature?token=d2c85db32cb346b5802687ee3697bdfd","2025NE001774")</f>
        <v>2025NE001774</v>
      </c>
      <c r="H573" s="6">
        <v>150</v>
      </c>
      <c r="I573" s="7" t="s">
        <v>67</v>
      </c>
      <c r="J573" s="10" t="s">
        <v>267</v>
      </c>
      <c r="K573" t="str">
        <f>HYPERLINK("http://www8.mpce.mp.br/Empenhos/150501/NE/2024NE000625.pdf","2024NE000625")</f>
        <v>2024NE000625</v>
      </c>
      <c r="L573">
        <v>152.37</v>
      </c>
      <c r="M573" t="s">
        <v>43</v>
      </c>
      <c r="N573">
        <v>22588967000179</v>
      </c>
    </row>
    <row r="574" spans="1:14" x14ac:dyDescent="0.25">
      <c r="A574" s="12" t="s">
        <v>159</v>
      </c>
      <c r="B574" s="2" t="s">
        <v>258</v>
      </c>
      <c r="C574" s="3" t="str">
        <f>HYPERLINK("https://transparencia-area-fim.mpce.mp.br/#/consulta/processo/pastadigital/092025000182595","09.2025.00018259-5")</f>
        <v>09.2025.00018259-5</v>
      </c>
      <c r="D574" s="4">
        <v>45839</v>
      </c>
      <c r="E574" s="16" t="s">
        <v>560</v>
      </c>
      <c r="F574" s="2" t="s">
        <v>255</v>
      </c>
      <c r="G574" s="5" t="str">
        <f>HYPERLINK("https://siafe.sefaz.ce.gov.br/Siafe/downloadSignature?token=b2c2eab9ec904a17af1670ea2729ab94","2025NE001775")</f>
        <v>2025NE001775</v>
      </c>
      <c r="H574" s="6">
        <v>141.69</v>
      </c>
      <c r="I574" s="7" t="s">
        <v>68</v>
      </c>
      <c r="J574" s="10" t="s">
        <v>269</v>
      </c>
      <c r="K574" t="str">
        <f>HYPERLINK("http://www8.mpce.mp.br/Empenhos/150501/NE/2024NE000626.pdf","2024NE000626")</f>
        <v>2024NE000626</v>
      </c>
      <c r="L574" s="13">
        <v>435000</v>
      </c>
      <c r="M574" t="s">
        <v>111</v>
      </c>
      <c r="N574">
        <v>7084577000178</v>
      </c>
    </row>
    <row r="575" spans="1:14" x14ac:dyDescent="0.25">
      <c r="A575" s="12" t="s">
        <v>159</v>
      </c>
      <c r="B575" s="2" t="s">
        <v>258</v>
      </c>
      <c r="C575" s="3" t="str">
        <f>HYPERLINK("https://transparencia-area-fim.mpce.mp.br/#/consulta/processo/pastadigital/092025000182607","09.2025.00018260-7")</f>
        <v>09.2025.00018260-7</v>
      </c>
      <c r="D575" s="4">
        <v>45839</v>
      </c>
      <c r="E575" s="17" t="s">
        <v>561</v>
      </c>
      <c r="F575" s="2" t="s">
        <v>255</v>
      </c>
      <c r="G575" s="5" t="str">
        <f>HYPERLINK("https://siafe.sefaz.ce.gov.br/Siafe/downloadSignature?token=24dacf760dfa4e3eb2e4c5278c4ede2d","2025NE001776")</f>
        <v>2025NE001776</v>
      </c>
      <c r="H575" s="6">
        <v>815.52</v>
      </c>
      <c r="I575" s="7" t="s">
        <v>69</v>
      </c>
      <c r="J575" s="10" t="s">
        <v>271</v>
      </c>
      <c r="K575" t="str">
        <f>HYPERLINK("http://www8.mpce.mp.br/Empenhos/150501/NE/2024NE000626.pdf","2024NE000626")</f>
        <v>2024NE000626</v>
      </c>
      <c r="L575" s="13">
        <v>435000</v>
      </c>
      <c r="M575" t="s">
        <v>111</v>
      </c>
      <c r="N575">
        <v>7084577000178</v>
      </c>
    </row>
    <row r="576" spans="1:14" x14ac:dyDescent="0.25">
      <c r="A576" s="12" t="s">
        <v>19</v>
      </c>
      <c r="B576" s="2" t="s">
        <v>755</v>
      </c>
      <c r="C576" s="3" t="str">
        <f>HYPERLINK("https://transparencia-area-fim.mpce.mp.br/#/consulta/processo/pastadigital/092022000343829","09.2022.00034382-9")</f>
        <v>09.2022.00034382-9</v>
      </c>
      <c r="D576" s="4">
        <v>45954</v>
      </c>
      <c r="E576" s="17" t="str">
        <f>HYPERLINK("https://www8.mpce.mp.br/Empenhos/150001/Objeto/10-2023.pdf","EMPENHO REF. IPTU DE IMÓVEL ONDE FUNCIONAM PROMOTORIAS E JUSTIÇA DA COMARCA DE ITAPAJÉ, CONF. CONTRATO 010/2023, REF. 2025 - PARCELA ÚNICA.")</f>
        <v>EMPENHO REF. IPTU DE IMÓVEL ONDE FUNCIONAM PROMOTORIAS E JUSTIÇA DA COMARCA DE ITAPAJÉ, CONF. CONTRATO 010/2023, REF. 2025 - PARCELA ÚNICA.</v>
      </c>
      <c r="F576" s="2" t="s">
        <v>323</v>
      </c>
      <c r="G576" s="5" t="str">
        <f>HYPERLINK("https://siafe.sefaz.ce.gov.br/Siafe/downloadSignature?token=53c1df6974e443fdbdda6b8e6abcd91d","2025NE001778")</f>
        <v>2025NE001778</v>
      </c>
      <c r="H576" s="6">
        <v>418.76</v>
      </c>
      <c r="I576" s="7" t="s">
        <v>747</v>
      </c>
      <c r="J576" s="10" t="s">
        <v>748</v>
      </c>
      <c r="K576" t="str">
        <f>HYPERLINK("http://www8.mpce.mp.br/Empenhos/150501/NE/2024NE000631.pdf","2024NE000631")</f>
        <v>2024NE000631</v>
      </c>
      <c r="L576" s="13">
        <v>41400</v>
      </c>
      <c r="M576" t="s">
        <v>51</v>
      </c>
      <c r="N576">
        <v>3773788000167</v>
      </c>
    </row>
    <row r="577" spans="1:14" x14ac:dyDescent="0.25">
      <c r="A577" s="12" t="s">
        <v>159</v>
      </c>
      <c r="B577" s="2" t="s">
        <v>258</v>
      </c>
      <c r="C577" s="3" t="str">
        <f>HYPERLINK("https://transparencia-area-fim.mpce.mp.br/#/consulta/processo/pastadigital/092025000182618","09.2025.00018261-8")</f>
        <v>09.2025.00018261-8</v>
      </c>
      <c r="D577" s="4">
        <v>45839</v>
      </c>
      <c r="E577" s="16" t="s">
        <v>562</v>
      </c>
      <c r="F577" s="2" t="s">
        <v>255</v>
      </c>
      <c r="G577" s="5" t="str">
        <f>HYPERLINK("https://siafe.sefaz.ce.gov.br/Siafe/downloadSignature?token=2a1078b5483b4bc997947064c0fd4878","2025NE001782")</f>
        <v>2025NE001782</v>
      </c>
      <c r="H577" s="6">
        <v>245.28</v>
      </c>
      <c r="I577" s="7" t="s">
        <v>70</v>
      </c>
      <c r="J577" s="10" t="s">
        <v>273</v>
      </c>
      <c r="K577" t="str">
        <f>HYPERLINK("http://www8.mpce.mp.br/Empenhos/150501/NE/2024NE000631.pdf","2024NE000631")</f>
        <v>2024NE000631</v>
      </c>
      <c r="L577" s="13">
        <v>41400</v>
      </c>
      <c r="M577" t="s">
        <v>51</v>
      </c>
      <c r="N577">
        <v>3773788000167</v>
      </c>
    </row>
    <row r="578" spans="1:14" x14ac:dyDescent="0.25">
      <c r="A578" s="12" t="s">
        <v>159</v>
      </c>
      <c r="B578" s="2" t="s">
        <v>258</v>
      </c>
      <c r="C578" s="3" t="str">
        <f>HYPERLINK("https://transparencia-area-fim.mpce.mp.br/#/consulta/processo/pastadigital/092025000182629","09.2025.00018262-9")</f>
        <v>09.2025.00018262-9</v>
      </c>
      <c r="D578" s="4">
        <v>45839</v>
      </c>
      <c r="E578" s="16" t="s">
        <v>563</v>
      </c>
      <c r="F578" s="2" t="s">
        <v>255</v>
      </c>
      <c r="G578" s="5" t="str">
        <f>HYPERLINK("https://siafe.sefaz.ce.gov.br/Siafe/downloadSignature?token=2cbc3ba8c47a432f9d9ecd25a5c9ba83","2025NE001784")</f>
        <v>2025NE001784</v>
      </c>
      <c r="H578" s="6">
        <v>594.17999999999995</v>
      </c>
      <c r="I578" s="7" t="s">
        <v>527</v>
      </c>
      <c r="J578" s="10" t="s">
        <v>528</v>
      </c>
      <c r="K578" t="str">
        <f>HYPERLINK("http://www8.mpce.mp.br/Empenhos/150501/NE/2024NE000631.pdf","2024NE000631")</f>
        <v>2024NE000631</v>
      </c>
      <c r="L578" s="13">
        <v>41400</v>
      </c>
      <c r="M578" t="s">
        <v>51</v>
      </c>
      <c r="N578">
        <v>3773788000167</v>
      </c>
    </row>
    <row r="579" spans="1:14" x14ac:dyDescent="0.25">
      <c r="A579" s="12" t="s">
        <v>159</v>
      </c>
      <c r="B579" s="2" t="s">
        <v>258</v>
      </c>
      <c r="C579" s="3" t="str">
        <f>HYPERLINK("https://transparencia-area-fim.mpce.mp.br/#/consulta/processo/pastadigital/092025000182630","09.2025.00018263-0")</f>
        <v>09.2025.00018263-0</v>
      </c>
      <c r="D579" s="4">
        <v>45839</v>
      </c>
      <c r="E579" s="16" t="s">
        <v>564</v>
      </c>
      <c r="F579" s="2" t="s">
        <v>255</v>
      </c>
      <c r="G579" s="5" t="str">
        <f>HYPERLINK("https://siafe.sefaz.ce.gov.br/Siafe/downloadSignature?token=f261bb9f1ebd4090b834429f1a942d50","2025NE001786")</f>
        <v>2025NE001786</v>
      </c>
      <c r="H579" s="6">
        <v>636</v>
      </c>
      <c r="I579" s="7" t="s">
        <v>80</v>
      </c>
      <c r="J579" s="10" t="s">
        <v>301</v>
      </c>
      <c r="K579" t="str">
        <f>HYPERLINK("http://www8.mpce.mp.br/Empenhos/150501/NE/2024NE000631.pdf","2024NE000631")</f>
        <v>2024NE000631</v>
      </c>
      <c r="L579" s="13">
        <v>41400</v>
      </c>
      <c r="M579" t="s">
        <v>51</v>
      </c>
      <c r="N579">
        <v>3773788000167</v>
      </c>
    </row>
    <row r="580" spans="1:14" x14ac:dyDescent="0.25">
      <c r="A580" s="12" t="s">
        <v>159</v>
      </c>
      <c r="B580" s="2" t="s">
        <v>258</v>
      </c>
      <c r="C580" s="3" t="str">
        <f>HYPERLINK("https://transparencia-area-fim.mpce.mp.br/#/consulta/processo/pastadigital/092025000182640","09.2025.00018264-0")</f>
        <v>09.2025.00018264-0</v>
      </c>
      <c r="D580" s="4">
        <v>45839</v>
      </c>
      <c r="E580" s="16" t="s">
        <v>565</v>
      </c>
      <c r="F580" s="2" t="s">
        <v>255</v>
      </c>
      <c r="G580" s="5" t="str">
        <f>HYPERLINK("https://siafe.sefaz.ce.gov.br/Siafe/downloadSignature?token=66b8d45319134c7290d931fecb0567a4","2025NE001788")</f>
        <v>2025NE001788</v>
      </c>
      <c r="H580" s="6">
        <v>3750</v>
      </c>
      <c r="I580" s="7" t="s">
        <v>71</v>
      </c>
      <c r="J580" s="10" t="s">
        <v>275</v>
      </c>
      <c r="K580" t="str">
        <f>HYPERLINK("http://www8.mpce.mp.br/Empenhos/150001/NE/2024NE000638.pdf","2024NE000638")</f>
        <v>2024NE000638</v>
      </c>
      <c r="L580">
        <v>60.78</v>
      </c>
      <c r="M580" t="s">
        <v>81</v>
      </c>
      <c r="N580">
        <v>7476369000114</v>
      </c>
    </row>
    <row r="581" spans="1:14" x14ac:dyDescent="0.25">
      <c r="A581" s="12" t="s">
        <v>159</v>
      </c>
      <c r="B581" s="2" t="s">
        <v>258</v>
      </c>
      <c r="C581" s="3" t="str">
        <f>HYPERLINK("https://transparencia-area-fim.mpce.mp.br/#/consulta/processo/pastadigital/092025000182651","09.2025.00018265-1")</f>
        <v>09.2025.00018265-1</v>
      </c>
      <c r="D581" s="4">
        <v>45839</v>
      </c>
      <c r="E581" s="16" t="s">
        <v>566</v>
      </c>
      <c r="F581" s="2" t="s">
        <v>255</v>
      </c>
      <c r="G581" s="5" t="str">
        <f>HYPERLINK("https://siafe.sefaz.ce.gov.br/Siafe/downloadSignature?token=3d1bb547d76641e29c1b22b09c9ac78c","2025NE001789")</f>
        <v>2025NE001789</v>
      </c>
      <c r="H581" s="6">
        <v>433.62</v>
      </c>
      <c r="I581" s="7" t="s">
        <v>74</v>
      </c>
      <c r="J581" s="10" t="s">
        <v>282</v>
      </c>
      <c r="K581" t="str">
        <f>HYPERLINK("http://www8.mpce.mp.br/Empenhos/150001/NE/2024NE000642.pdf","2024NE000642")</f>
        <v>2024NE000642</v>
      </c>
      <c r="L581">
        <v>600</v>
      </c>
      <c r="M581" t="s">
        <v>82</v>
      </c>
      <c r="N581">
        <v>5537196000171</v>
      </c>
    </row>
    <row r="582" spans="1:14" x14ac:dyDescent="0.25">
      <c r="A582" s="12" t="s">
        <v>159</v>
      </c>
      <c r="B582" s="2" t="s">
        <v>258</v>
      </c>
      <c r="C582" s="3" t="str">
        <f>HYPERLINK("https://transparencia-area-fim.mpce.mp.br/#/consulta/processo/pastadigital/092025000182673","09.2025.00018267-3")</f>
        <v>09.2025.00018267-3</v>
      </c>
      <c r="D582" s="4">
        <v>45839</v>
      </c>
      <c r="E582" s="16" t="s">
        <v>567</v>
      </c>
      <c r="F582" s="2" t="s">
        <v>255</v>
      </c>
      <c r="G582" s="5" t="str">
        <f>HYPERLINK("https://siafe.sefaz.ce.gov.br/Siafe/downloadSignature?token=14e937e4ab7d45f2b9ca387f23c4150b","2025NE001790")</f>
        <v>2025NE001790</v>
      </c>
      <c r="H582" s="6">
        <v>135000</v>
      </c>
      <c r="I582" s="7" t="s">
        <v>75</v>
      </c>
      <c r="J582" s="10" t="s">
        <v>286</v>
      </c>
      <c r="K582" t="str">
        <f>HYPERLINK("http://www8.mpce.mp.br/Empenhos/150501/NE/2024NE000643.pdf","2024NE000643")</f>
        <v>2024NE000643</v>
      </c>
      <c r="L582" s="13">
        <v>2619.0100000000002</v>
      </c>
      <c r="M582" t="s">
        <v>29</v>
      </c>
      <c r="N582">
        <v>5569807000163</v>
      </c>
    </row>
    <row r="583" spans="1:14" x14ac:dyDescent="0.25">
      <c r="A583" s="12" t="s">
        <v>19</v>
      </c>
      <c r="B583" s="2" t="s">
        <v>568</v>
      </c>
      <c r="C583" s="3" t="str">
        <f>HYPERLINK("https://transparencia-area-fim.mpce.mp.br/#/consulta/processo/pastadigital/092024000041060","09.2024.00004106-0")</f>
        <v>09.2024.00004106-0</v>
      </c>
      <c r="D583" s="4">
        <v>45840</v>
      </c>
      <c r="E583" s="16" t="str">
        <f>HYPERLINK("https://www8.mpce.mp.br/Empenhos/150001/Objeto/95-2024.pdf","TELEFONIA MÓVEL (SÓ CHIPS), CONF. CONTRATO Nº 095/2024, REF. AOS MESES DE JULHO A SETEMBRO DE 2025.")</f>
        <v>TELEFONIA MÓVEL (SÓ CHIPS), CONF. CONTRATO Nº 095/2024, REF. AOS MESES DE JULHO A SETEMBRO DE 2025.</v>
      </c>
      <c r="F583" s="2" t="s">
        <v>291</v>
      </c>
      <c r="G583" s="5" t="str">
        <f>HYPERLINK("https://siafe.sefaz.ce.gov.br/Siafe/downloadSignature?token=cba5c6b4f6d042238f92c315f7e03dea","2025NE001795")</f>
        <v>2025NE001795</v>
      </c>
      <c r="H583" s="6">
        <v>6000</v>
      </c>
      <c r="I583" s="7" t="s">
        <v>292</v>
      </c>
      <c r="J583" s="10" t="s">
        <v>293</v>
      </c>
      <c r="K583" t="str">
        <f>HYPERLINK("http://www8.mpce.mp.br/Empenhos/150001/NE/2024NE000644.pdf","2024NE000644")</f>
        <v>2024NE000644</v>
      </c>
      <c r="L583">
        <v>271.32</v>
      </c>
      <c r="M583" t="s">
        <v>61</v>
      </c>
      <c r="N583">
        <v>7508138000145</v>
      </c>
    </row>
    <row r="584" spans="1:14" x14ac:dyDescent="0.25">
      <c r="A584" s="12" t="s">
        <v>159</v>
      </c>
      <c r="B584" s="2" t="s">
        <v>569</v>
      </c>
      <c r="C584" s="3" t="str">
        <f>HYPERLINK("https://transparencia-area-fim.mpce.mp.br/#/consulta/processo/pastadigital/092025000182695","09.2025.00018269-5")</f>
        <v>09.2025.00018269-5</v>
      </c>
      <c r="D584" s="4">
        <v>45840</v>
      </c>
      <c r="E584" s="16" t="s">
        <v>570</v>
      </c>
      <c r="F584" s="2" t="s">
        <v>571</v>
      </c>
      <c r="G584" s="5" t="str">
        <f>HYPERLINK("https://siafe.sefaz.ce.gov.br/Siafe/downloadSignature?token=ef4fd7dbcfb94e5298efe8aeabf28218","2025NE001796")</f>
        <v>2025NE001796</v>
      </c>
      <c r="H584" s="6">
        <v>300</v>
      </c>
      <c r="I584" s="7" t="s">
        <v>572</v>
      </c>
      <c r="J584" s="10" t="s">
        <v>573</v>
      </c>
      <c r="K584" t="str">
        <f>HYPERLINK("http://www8.mpce.mp.br/Empenhos/150501/NE/2024NE000646.pdf","2024NE000646")</f>
        <v>2024NE000646</v>
      </c>
      <c r="L584" s="13">
        <v>18263.46</v>
      </c>
      <c r="M584" t="s">
        <v>59</v>
      </c>
      <c r="N584">
        <v>83472803000176</v>
      </c>
    </row>
    <row r="585" spans="1:14" x14ac:dyDescent="0.25">
      <c r="A585" s="12" t="s">
        <v>19</v>
      </c>
      <c r="B585" s="2" t="s">
        <v>243</v>
      </c>
      <c r="C585" s="3" t="str">
        <f>HYPERLINK("https://transparencia-area-fim.mpce.mp.br/#/consulta/processo/pastadigital/092024000176845","09.2024.00017684-5")</f>
        <v>09.2024.00017684-5</v>
      </c>
      <c r="D585" s="4">
        <v>45959</v>
      </c>
      <c r="E585" s="16" t="str">
        <f>HYPERLINK("https://www8.mpce.mp.br/Empenhos/150001/Objeto/58-2024.pdf","EMPENHO REF. SERVIÇOS ESPECIALIZADOS EM SEGURANÇA (ANTIVÍRUS), CONF. CONTRATO 058/2024, REF. OUT E NOV/2025, POR ESTIMATIVA.")</f>
        <v>EMPENHO REF. SERVIÇOS ESPECIALIZADOS EM SEGURANÇA (ANTIVÍRUS), CONF. CONTRATO 058/2024, REF. OUT E NOV/2025, POR ESTIMATIVA.</v>
      </c>
      <c r="F585" s="2" t="s">
        <v>211</v>
      </c>
      <c r="G585" s="5" t="str">
        <f>HYPERLINK("https://siafe.sefaz.ce.gov.br/Siafe/downloadSignature?token=046c349140894ac8958a1339c0bf7f58","2025NE001804")</f>
        <v>2025NE001804</v>
      </c>
      <c r="H585" s="6">
        <v>245901.3</v>
      </c>
      <c r="I585" s="7" t="s">
        <v>51</v>
      </c>
      <c r="J585" s="10" t="s">
        <v>212</v>
      </c>
      <c r="K585" t="str">
        <f>HYPERLINK("http://www8.mpce.mp.br/Empenhos/150501/NE/2024NE000660.pdf","2024NE000660")</f>
        <v>2024NE000660</v>
      </c>
      <c r="L585" s="13">
        <v>131200</v>
      </c>
      <c r="M585" t="s">
        <v>72</v>
      </c>
      <c r="N585">
        <v>2593165000140</v>
      </c>
    </row>
    <row r="586" spans="1:14" x14ac:dyDescent="0.25">
      <c r="A586" s="12" t="s">
        <v>159</v>
      </c>
      <c r="B586" s="2" t="s">
        <v>317</v>
      </c>
      <c r="C586" s="3" t="str">
        <f>HYPERLINK("https://transparencia-area-fim.mpce.mp.br/#/consulta/processo/pastadigital/092025000305947","09.2025.00030594-7")</f>
        <v>09.2025.00030594-7</v>
      </c>
      <c r="D586" s="4">
        <v>45959</v>
      </c>
      <c r="E586" s="16" t="s">
        <v>756</v>
      </c>
      <c r="F586" s="2" t="s">
        <v>221</v>
      </c>
      <c r="G586" s="5" t="str">
        <f>HYPERLINK("https://siafe.sefaz.ce.gov.br/Siafe/downloadSignature?token=152f25c3a347481e94ed65d6e0708f11","2025NE001814")</f>
        <v>2025NE001814</v>
      </c>
      <c r="H586" s="6">
        <v>7824.6</v>
      </c>
      <c r="I586" s="7" t="s">
        <v>738</v>
      </c>
      <c r="J586" s="10" t="s">
        <v>739</v>
      </c>
      <c r="K586" t="str">
        <f>HYPERLINK("http://www8.mpce.mp.br/Empenhos/150501/NE/2024NE000662.pdf","2024NE000662")</f>
        <v>2024NE000662</v>
      </c>
      <c r="L586" s="13">
        <v>13800</v>
      </c>
      <c r="M586" t="s">
        <v>51</v>
      </c>
      <c r="N586">
        <v>3773788000167</v>
      </c>
    </row>
    <row r="587" spans="1:14" x14ac:dyDescent="0.25">
      <c r="A587" s="12" t="s">
        <v>19</v>
      </c>
      <c r="B587" s="2" t="s">
        <v>187</v>
      </c>
      <c r="C587" s="3" t="str">
        <f>HYPERLINK("https://transparencia-area-fim.mpce.mp.br/#/consulta/processo/pastadigital/092021000079244","09.2021.00007924-4")</f>
        <v>09.2021.00007924-4</v>
      </c>
      <c r="D587" s="4">
        <v>45959</v>
      </c>
      <c r="E587" s="16" t="str">
        <f>HYPERLINK("https://www8.mpce.mp.br/Empenhos/150001/Objeto/27-2021.pdf","EMPENHO REF. IPTU DE IMÓVEL ONDE FUNCIONAM PROMOTORIAS DE JUSTIÇA DA COMARCA DE EUSÉBIO, CONF. CONTRATO 027/2021, REF. 2025 - PARCELAS 01 A 06 (SALAS) E PARCELAS 01 A 05 (GARAGENS).")</f>
        <v>EMPENHO REF. IPTU DE IMÓVEL ONDE FUNCIONAM PROMOTORIAS DE JUSTIÇA DA COMARCA DE EUSÉBIO, CONF. CONTRATO 027/2021, REF. 2025 - PARCELAS 01 A 06 (SALAS) E PARCELAS 01 A 05 (GARAGENS).</v>
      </c>
      <c r="F587" s="2" t="s">
        <v>323</v>
      </c>
      <c r="G587" s="5" t="str">
        <f>HYPERLINK("https://siafe.sefaz.ce.gov.br/Siafe/downloadSignature?token=cbf6bfe801e74a29bbc6d86db96872c4","2025NE001816")</f>
        <v>2025NE001816</v>
      </c>
      <c r="H587" s="6">
        <v>4983.8100000000004</v>
      </c>
      <c r="I587" s="7" t="s">
        <v>43</v>
      </c>
      <c r="J587" s="10" t="s">
        <v>186</v>
      </c>
      <c r="K587" t="str">
        <f>HYPERLINK("http://www8.mpce.mp.br/Empenhos/150501/NE/2024NE000662.pdf","2024NE000662")</f>
        <v>2024NE000662</v>
      </c>
      <c r="L587" s="13">
        <v>13800</v>
      </c>
      <c r="M587" t="s">
        <v>51</v>
      </c>
      <c r="N587">
        <v>3773788000167</v>
      </c>
    </row>
    <row r="588" spans="1:14" x14ac:dyDescent="0.25">
      <c r="A588" s="12" t="s">
        <v>159</v>
      </c>
      <c r="B588" s="2" t="s">
        <v>317</v>
      </c>
      <c r="C588" s="3" t="str">
        <f>HYPERLINK("https://transparencia-area-fim.mpce.mp.br/#/consulta/processo/pastadigital/092025000309976","09.2025.00030997-6")</f>
        <v>09.2025.00030997-6</v>
      </c>
      <c r="D588" s="4">
        <v>45964</v>
      </c>
      <c r="E588" s="16" t="s">
        <v>757</v>
      </c>
      <c r="F588" s="2" t="s">
        <v>221</v>
      </c>
      <c r="G588" s="5" t="str">
        <f>HYPERLINK("https://siafe.sefaz.ce.gov.br/Siafe/downloadSignature?token=401035d847354860bd00f7b8ed118489","2025NE001832")</f>
        <v>2025NE001832</v>
      </c>
      <c r="H588" s="6">
        <v>3650</v>
      </c>
      <c r="I588" s="7" t="s">
        <v>627</v>
      </c>
      <c r="J588" s="10" t="s">
        <v>628</v>
      </c>
      <c r="K588" t="str">
        <f>HYPERLINK("http://www8.mpce.mp.br/Empenhos/150501/NE/2024NE000662.pdf","2024NE000662")</f>
        <v>2024NE000662</v>
      </c>
      <c r="L588" s="13">
        <v>13800</v>
      </c>
      <c r="M588" t="s">
        <v>51</v>
      </c>
      <c r="N588">
        <v>3773788000167</v>
      </c>
    </row>
    <row r="589" spans="1:14" x14ac:dyDescent="0.25">
      <c r="A589" s="12" t="s">
        <v>159</v>
      </c>
      <c r="B589" s="2" t="s">
        <v>191</v>
      </c>
      <c r="C589" s="3" t="str">
        <f>HYPERLINK("https://transparencia-area-fim.mpce.mp.br/#/consulta/processo/pastadigital/092022000083885","09.2022.00008388-5")</f>
        <v>09.2022.00008388-5</v>
      </c>
      <c r="D589" s="4">
        <v>45965</v>
      </c>
      <c r="E589" s="16" t="str">
        <f>HYPERLINK("https://www8.mpce.mp.br/Empenhos/150001/Objeto/36-2023.pdf","EMPENHO REF. IPTU DE IMÓVEL ONDE FUNCIONAM PROMOTORIAS DE JUSTIÇA DA COMARCA DE SOLONÓPOLE, CONF. CONTRATO 036/2023, REF. 2025 - PARCELA ÚNICA.")</f>
        <v>EMPENHO REF. IPTU DE IMÓVEL ONDE FUNCIONAM PROMOTORIAS DE JUSTIÇA DA COMARCA DE SOLONÓPOLE, CONF. CONTRATO 036/2023, REF. 2025 - PARCELA ÚNICA.</v>
      </c>
      <c r="F589" s="2" t="s">
        <v>361</v>
      </c>
      <c r="G589" s="5" t="str">
        <f>HYPERLINK("https://siafe.sefaz.ce.gov.br/Siafe/downloadSignature?token=c3b98066c31541bcba2f85a6b10828ba","2025NE001866")</f>
        <v>2025NE001866</v>
      </c>
      <c r="H589" s="6">
        <v>292.52</v>
      </c>
      <c r="I589" s="7" t="s">
        <v>49</v>
      </c>
      <c r="J589" s="10" t="s">
        <v>197</v>
      </c>
      <c r="K589" t="str">
        <f>HYPERLINK("http://www8.mpce.mp.br/Empenhos/150501/NE/2024NE000662.pdf","2024NE000662")</f>
        <v>2024NE000662</v>
      </c>
      <c r="L589" s="13">
        <v>13800</v>
      </c>
      <c r="M589" t="s">
        <v>51</v>
      </c>
      <c r="N589">
        <v>3773788000167</v>
      </c>
    </row>
    <row r="590" spans="1:14" x14ac:dyDescent="0.25">
      <c r="A590" s="12" t="s">
        <v>19</v>
      </c>
      <c r="B590" s="2" t="s">
        <v>243</v>
      </c>
      <c r="C590" s="3" t="str">
        <f>HYPERLINK("https://transparencia-area-fim.mpce.mp.br/#/consulta/processo/pastadigital/092025000302894","09.2025.00030289-4")</f>
        <v>09.2025.00030289-4</v>
      </c>
      <c r="D590" s="4">
        <v>45966</v>
      </c>
      <c r="E590" s="16" t="str">
        <f>HYPERLINK("https://www8.mpce.mp.br/Empenhos/150001/Objeto/49-2025.pdf","EMPENHO REF. SERVIÇOS DE PROVIMENTO DE RECURSOS EM NUVEM (URN), CONF. CONTRATO 049/2025, REF. NOV E DEZ/2025, POR ESTIMATIVA.")</f>
        <v>EMPENHO REF. SERVIÇOS DE PROVIMENTO DE RECURSOS EM NUVEM (URN), CONF. CONTRATO 049/2025, REF. NOV E DEZ/2025, POR ESTIMATIVA.</v>
      </c>
      <c r="F590" s="2" t="s">
        <v>211</v>
      </c>
      <c r="G590" s="5" t="str">
        <f>HYPERLINK("https://siafe.sefaz.ce.gov.br/Siafe/downloadSignature?token=5864635923264713919eb0c9fa4144a1","2025NE001889")</f>
        <v>2025NE001889</v>
      </c>
      <c r="H590" s="6">
        <v>99998.52</v>
      </c>
      <c r="I590" s="7" t="s">
        <v>51</v>
      </c>
      <c r="J590" s="10" t="s">
        <v>212</v>
      </c>
      <c r="K590" t="str">
        <f>HYPERLINK("http://www8.mpce.mp.br/Empenhos/150501/NE/2024NE000663.pdf","2024NE000663")</f>
        <v>2024NE000663</v>
      </c>
      <c r="L590" s="13">
        <v>12432.84</v>
      </c>
      <c r="M590" t="s">
        <v>51</v>
      </c>
      <c r="N590">
        <v>3773788000167</v>
      </c>
    </row>
    <row r="591" spans="1:14" x14ac:dyDescent="0.25">
      <c r="A591" s="12" t="s">
        <v>159</v>
      </c>
      <c r="B591" s="2" t="s">
        <v>466</v>
      </c>
      <c r="C591" s="3" t="str">
        <f>HYPERLINK("https://transparencia-area-fim.mpce.mp.br/#/consulta/processo/pastadigital/092024000189230","09.2024.00018923-0")</f>
        <v>09.2024.00018923-0</v>
      </c>
      <c r="D591" s="4">
        <v>45848</v>
      </c>
      <c r="E591" s="16" t="str">
        <f>HYPERLINK("https://www8.mpce.mp.br/Empenhos/150001/Objeto/98-2024.pdf","FORNECIMENTO DE ENERGIA ELÉTRICA , ALTA TENSÃO A4- HORO-SAZONAL VERDE AOS DIVERSOS IMÓVEIS DAS UNIDADES MINISTERIAIS DA PGJ, POR ESTIMATIVA E PARA CONTEMPLAR OS MESES DE JULHO, "&amp;"AGOSTO E SETEMBRO/2025.")</f>
        <v>FORNECIMENTO DE ENERGIA ELÉTRICA , ALTA TENSÃO A4- HORO-SAZONAL VERDE AOS DIVERSOS IMÓVEIS DAS UNIDADES MINISTERIAIS DA PGJ, POR ESTIMATIVA E PARA CONTEMPLAR OS MESES DE JULHO, AGOSTO E SETEMBRO/2025.</v>
      </c>
      <c r="F591" s="2" t="s">
        <v>309</v>
      </c>
      <c r="G591" s="5" t="str">
        <f>HYPERLINK("http://www8.mpce.mp.br/Empenhos/150001/NE/2025NE001893.pdf","2025NE001893")</f>
        <v>2025NE001893</v>
      </c>
      <c r="H591" s="6">
        <v>540000</v>
      </c>
      <c r="I591" s="7" t="s">
        <v>310</v>
      </c>
      <c r="J591" s="10" t="s">
        <v>311</v>
      </c>
      <c r="K591" t="str">
        <f>HYPERLINK("http://www8.mpce.mp.br/Empenhos/150501/NE/2024NE000664.pdf","2024NE000664")</f>
        <v>2024NE000664</v>
      </c>
      <c r="L591" s="13">
        <v>22563.68</v>
      </c>
      <c r="M591" t="s">
        <v>51</v>
      </c>
      <c r="N591">
        <v>3773788000167</v>
      </c>
    </row>
    <row r="592" spans="1:14" x14ac:dyDescent="0.25">
      <c r="A592" s="12" t="s">
        <v>159</v>
      </c>
      <c r="B592" s="2" t="s">
        <v>466</v>
      </c>
      <c r="C592" s="3" t="str">
        <f>HYPERLINK("https://transparencia-area-fim.mpce.mp.br/#/consulta/processo/pastadigital/092024000189230","09.2024.00018923-0")</f>
        <v>09.2024.00018923-0</v>
      </c>
      <c r="D592" s="4">
        <v>45848</v>
      </c>
      <c r="E592" s="16" t="str">
        <f>HYPERLINK("https://www8.mpce.mp.br/Empenhos/150001/Objeto/99-2024.pdf","FORNECIMENTO DE ENERGIA ELÉTRICA NA MODALIDADE ALTA TENSÃO, OPTANTE PELO GRUPO B ÀS DIVERSAS UNIDADES MINISTERIAIS DA PROCURADORIA GERAL DE JUSTIÇA, POR ESTIMATIVA E PARA CXONTE"&amp;"MPLAR OS MESES DE JULHO,AGOSTO E SETEMBRO/2025.")</f>
        <v>FORNECIMENTO DE ENERGIA ELÉTRICA NA MODALIDADE ALTA TENSÃO, OPTANTE PELO GRUPO B ÀS DIVERSAS UNIDADES MINISTERIAIS DA PROCURADORIA GERAL DE JUSTIÇA, POR ESTIMATIVA E PARA CXONTEMPLAR OS MESES DE JULHO,AGOSTO E SETEMBRO/2025.</v>
      </c>
      <c r="F592" s="2" t="s">
        <v>309</v>
      </c>
      <c r="G592" s="5" t="str">
        <f>HYPERLINK("http://www8.mpce.mp.br/Empenhos/150001/NE/2025NE001895.pdf","2025NE001895")</f>
        <v>2025NE001895</v>
      </c>
      <c r="H592" s="6">
        <v>40500</v>
      </c>
      <c r="I592" s="7" t="s">
        <v>310</v>
      </c>
      <c r="J592" s="10" t="s">
        <v>311</v>
      </c>
      <c r="K592" t="str">
        <f>HYPERLINK("http://www8.mpce.mp.br/Empenhos/150501/NE/2024NE000666.pdf","2024NE000666")</f>
        <v>2024NE000666</v>
      </c>
      <c r="L592" s="13">
        <v>35718.5</v>
      </c>
      <c r="M592" t="s">
        <v>51</v>
      </c>
      <c r="N592">
        <v>3773788000167</v>
      </c>
    </row>
    <row r="593" spans="1:14" x14ac:dyDescent="0.25">
      <c r="A593" s="12" t="s">
        <v>19</v>
      </c>
      <c r="B593" s="2" t="s">
        <v>187</v>
      </c>
      <c r="C593" s="3" t="str">
        <f>HYPERLINK("https://transparencia-area-fim.mpce.mp.br/#/consulta/processo/pastadigital/092023000338541","09.2023.00033854-1")</f>
        <v>09.2023.00033854-1</v>
      </c>
      <c r="D593" s="4">
        <v>45966</v>
      </c>
      <c r="E593" s="16" t="str">
        <f>HYPERLINK("https://www8.mpce.mp.br/Empenhos/150001/Objeto/36-2024.pdf","EMPENHO REF. IPTU DE IMÓVEL ONDE FUNCIONAM PROMOTORIAS DE JUSTIÇA DA COMARCA DE MORADA NOVA-CE, CONF. CONTRATO 036/2024, REF. 2025 - PARC. ÚNICA.")</f>
        <v>EMPENHO REF. IPTU DE IMÓVEL ONDE FUNCIONAM PROMOTORIAS DE JUSTIÇA DA COMARCA DE MORADA NOVA-CE, CONF. CONTRATO 036/2024, REF. 2025 - PARC. ÚNICA.</v>
      </c>
      <c r="F593" s="2" t="s">
        <v>323</v>
      </c>
      <c r="G593" s="5" t="str">
        <f>HYPERLINK("https://siafe.sefaz.ce.gov.br/Siafe/downloadSignature?token=fb65de8465aa4766b42361363d924cf0","2025NE001896")</f>
        <v>2025NE001896</v>
      </c>
      <c r="H593" s="6">
        <v>582.88</v>
      </c>
      <c r="I593" s="7" t="s">
        <v>27</v>
      </c>
      <c r="J593" s="10" t="s">
        <v>154</v>
      </c>
      <c r="K593" t="str">
        <f>HYPERLINK("http://www8.mpce.mp.br/Empenhos/150501/NE/2024NE000666.pdf","2024NE000666")</f>
        <v>2024NE000666</v>
      </c>
      <c r="L593" s="13">
        <v>35718.5</v>
      </c>
      <c r="M593" t="s">
        <v>51</v>
      </c>
      <c r="N593">
        <v>3773788000167</v>
      </c>
    </row>
    <row r="594" spans="1:14" x14ac:dyDescent="0.25">
      <c r="A594" s="12" t="s">
        <v>159</v>
      </c>
      <c r="B594" s="2" t="s">
        <v>466</v>
      </c>
      <c r="C594" s="3" t="str">
        <f>HYPERLINK("https://transparencia-area-fim.mpce.mp.br/#/consulta/processo/pastadigital/092025000170744","09202500017074-4")</f>
        <v>09202500017074-4</v>
      </c>
      <c r="D594" s="4">
        <v>45848</v>
      </c>
      <c r="E594" s="16" t="s">
        <v>574</v>
      </c>
      <c r="F594" s="2" t="s">
        <v>221</v>
      </c>
      <c r="G594" s="5" t="str">
        <f>HYPERLINK("http://www8.mpce.mp.br/Empenhos/150001/NE/2025NE001897.pdf","2025NE001897")</f>
        <v>2025NE001897</v>
      </c>
      <c r="H594" s="6">
        <v>3000</v>
      </c>
      <c r="I594" s="7" t="s">
        <v>575</v>
      </c>
      <c r="J594" s="10" t="s">
        <v>576</v>
      </c>
      <c r="K594" t="str">
        <f>HYPERLINK("http://www8.mpce.mp.br/Empenhos/150501/NE/2024NE000666.pdf","2024NE000666")</f>
        <v>2024NE000666</v>
      </c>
      <c r="L594" s="13">
        <v>35718.5</v>
      </c>
      <c r="M594" t="s">
        <v>51</v>
      </c>
      <c r="N594">
        <v>3773788000167</v>
      </c>
    </row>
    <row r="595" spans="1:14" x14ac:dyDescent="0.25">
      <c r="A595" s="12" t="s">
        <v>159</v>
      </c>
      <c r="B595" s="2" t="s">
        <v>466</v>
      </c>
      <c r="C595" s="3" t="str">
        <f>HYPERLINK("https://transparencia-area-fim.mpce.mp.br/#/consulta/processo/pastadigital/092025000153901","09.2025.00015390-1")</f>
        <v>09.2025.00015390-1</v>
      </c>
      <c r="D595" s="4">
        <v>45848</v>
      </c>
      <c r="E595" s="16" t="s">
        <v>577</v>
      </c>
      <c r="F595" s="2" t="s">
        <v>392</v>
      </c>
      <c r="G595" s="5" t="str">
        <f>HYPERLINK("http://www8.mpce.mp.br/Empenhos/150001/NE/2025NE001898.pdf","2025NE001898")</f>
        <v>2025NE001898</v>
      </c>
      <c r="H595" s="6">
        <v>930</v>
      </c>
      <c r="I595" s="7" t="s">
        <v>52</v>
      </c>
      <c r="J595" s="10" t="s">
        <v>217</v>
      </c>
      <c r="K595" t="str">
        <f>HYPERLINK("http://www8.mpce.mp.br/Empenhos/150501/NE/2024NE000666.pdf","2024NE000666")</f>
        <v>2024NE000666</v>
      </c>
      <c r="L595" s="13">
        <v>35718.5</v>
      </c>
      <c r="M595" t="s">
        <v>51</v>
      </c>
      <c r="N595">
        <v>3773788000167</v>
      </c>
    </row>
    <row r="596" spans="1:14" x14ac:dyDescent="0.25">
      <c r="A596" s="12" t="s">
        <v>19</v>
      </c>
      <c r="B596" s="2" t="s">
        <v>187</v>
      </c>
      <c r="C596" s="3" t="str">
        <f>HYPERLINK("https://transparencia-area-fim.mpce.mp.br/#/consulta/processo/pastadigital/092021000155016","09.2021.00015501-6")</f>
        <v>09.2021.00015501-6</v>
      </c>
      <c r="D596" s="4">
        <v>45966</v>
      </c>
      <c r="E596" s="17" t="str">
        <f>HYPERLINK("https://www8.mpce.mp.br/Empenhos/150001/Objeto/26-2021.pdf","EMPENHO REF. IPTU DE IMÓVEL ONDE FUNCIONAM PROMOTORIAS DE JUSTIÇA DA COMARCA DE BREJO SANTO, CONF. CONTRATO 026/2021, REF. 2025 - PARCELA ÚNICA.")</f>
        <v>EMPENHO REF. IPTU DE IMÓVEL ONDE FUNCIONAM PROMOTORIAS DE JUSTIÇA DA COMARCA DE BREJO SANTO, CONF. CONTRATO 026/2021, REF. 2025 - PARCELA ÚNICA.</v>
      </c>
      <c r="F596" s="2" t="s">
        <v>361</v>
      </c>
      <c r="G596" s="5" t="str">
        <f>HYPERLINK("https://siafe.sefaz.ce.gov.br/Siafe/downloadSignature?token=d07c207151074f7287ef30424625828d","2025NE001899")</f>
        <v>2025NE001899</v>
      </c>
      <c r="H596" s="6">
        <v>482.9</v>
      </c>
      <c r="I596" s="7" t="s">
        <v>39</v>
      </c>
      <c r="J596" s="10" t="s">
        <v>178</v>
      </c>
      <c r="K596" t="str">
        <f>HYPERLINK("http://www8.mpce.mp.br/Empenhos/150001/NE/2024NE000673.pdf","2024NE000673")</f>
        <v>2024NE000673</v>
      </c>
      <c r="L596">
        <v>900</v>
      </c>
      <c r="M596" t="s">
        <v>64</v>
      </c>
      <c r="N596">
        <v>7544786000157</v>
      </c>
    </row>
    <row r="597" spans="1:14" x14ac:dyDescent="0.25">
      <c r="A597" s="12" t="s">
        <v>159</v>
      </c>
      <c r="B597" s="2" t="s">
        <v>317</v>
      </c>
      <c r="C597" s="3" t="str">
        <f>HYPERLINK("https://transparencia-area-fim.mpce.mp.br/#/consulta/processo/pastadigital/092025000305680","09.2025.00030568-0")</f>
        <v>09.2025.00030568-0</v>
      </c>
      <c r="D597" s="4">
        <v>45967</v>
      </c>
      <c r="E597" s="17" t="s">
        <v>758</v>
      </c>
      <c r="F597" s="2" t="s">
        <v>221</v>
      </c>
      <c r="G597" s="5" t="str">
        <f>HYPERLINK("https://siafe.sefaz.ce.gov.br/Siafe/downloadSignature?token=dd55a19adb9f40f6a10a378e0625a253","2025NE001915")</f>
        <v>2025NE001915</v>
      </c>
      <c r="H597" s="6">
        <v>51499.7</v>
      </c>
      <c r="I597" s="7" t="s">
        <v>464</v>
      </c>
      <c r="J597" s="10" t="s">
        <v>465</v>
      </c>
      <c r="K597" t="str">
        <f>HYPERLINK("http://www8.mpce.mp.br/Empenhos/150001/NE/2024NE000684.pdf","2024NE000684")</f>
        <v>2024NE000684</v>
      </c>
      <c r="L597">
        <v>188.73</v>
      </c>
      <c r="M597" t="s">
        <v>65</v>
      </c>
      <c r="N597">
        <v>5722202000160</v>
      </c>
    </row>
    <row r="598" spans="1:14" x14ac:dyDescent="0.25">
      <c r="A598" s="12" t="s">
        <v>159</v>
      </c>
      <c r="B598" s="2" t="s">
        <v>317</v>
      </c>
      <c r="C598" s="3" t="str">
        <f>HYPERLINK("https://transparencia-area-fim.mpce.mp.br/#/consulta/processo/pastadigital/092025000283347","09.2025.00028334-7")</f>
        <v>09.2025.00028334-7</v>
      </c>
      <c r="D598" s="4">
        <v>45968</v>
      </c>
      <c r="E598" s="16" t="s">
        <v>759</v>
      </c>
      <c r="F598" s="2" t="s">
        <v>221</v>
      </c>
      <c r="G598" s="5" t="str">
        <f>HYPERLINK("https://siafe.sefaz.ce.gov.br/Siafe/downloadSignature?token=8158b81eb2c24b14878b4f6266ccc4b7","2025NE001916")</f>
        <v>2025NE001916</v>
      </c>
      <c r="H598" s="6">
        <v>3800</v>
      </c>
      <c r="I598" s="7" t="s">
        <v>100</v>
      </c>
      <c r="J598" s="10" t="s">
        <v>760</v>
      </c>
      <c r="K598" t="str">
        <f>HYPERLINK("http://www8.mpce.mp.br/Empenhos/150001/NE/2024NE000685.pdf","2024NE000685")</f>
        <v>2024NE000685</v>
      </c>
      <c r="L598">
        <v>150</v>
      </c>
      <c r="M598" t="s">
        <v>67</v>
      </c>
      <c r="N598">
        <v>29038683000158</v>
      </c>
    </row>
    <row r="599" spans="1:14" x14ac:dyDescent="0.25">
      <c r="A599" s="12" t="s">
        <v>159</v>
      </c>
      <c r="B599" s="2" t="s">
        <v>761</v>
      </c>
      <c r="C599" s="3" t="str">
        <f>HYPERLINK("https://transparencia-area-fim.mpce.mp.br/#/consulta/processo/pastadigital/092022000382588","09.2022.00038258-8")</f>
        <v>09.2022.00038258-8</v>
      </c>
      <c r="D599" s="4">
        <v>45968</v>
      </c>
      <c r="E599" s="16" t="str">
        <f>HYPERLINK("https://www8.mpce.mp.br/Empenhos/150001/Objeto/43-2022.pdf","EMPENHO REF. ASSINATURA ANUAL, 03 LICENÇAS E 01 CORTESIA, DE ACESSO À FERRAMENTA DE PESQUISA DE PREÇOS BANCO DE PREÇOS, CONF. CONTRATO 043/2022, REF. 2025.")</f>
        <v>EMPENHO REF. ASSINATURA ANUAL, 03 LICENÇAS E 01 CORTESIA, DE ACESSO À FERRAMENTA DE PESQUISA DE PREÇOS BANCO DE PREÇOS, CONF. CONTRATO 043/2022, REF. 2025.</v>
      </c>
      <c r="F599" s="2" t="s">
        <v>228</v>
      </c>
      <c r="G599" s="5" t="str">
        <f>HYPERLINK("https://siafe.sefaz.ce.gov.br/Siafe/downloadSignature?token=895733c292ad405a97a981153bd94793","2025NE001919")</f>
        <v>2025NE001919</v>
      </c>
      <c r="H599" s="6">
        <v>32595</v>
      </c>
      <c r="I599" s="7" t="s">
        <v>762</v>
      </c>
      <c r="J599" s="10" t="s">
        <v>763</v>
      </c>
      <c r="K599" t="str">
        <f>HYPERLINK("http://www8.mpce.mp.br/Empenhos/150001/NE/2024NE000686.pdf","2024NE000686")</f>
        <v>2024NE000686</v>
      </c>
      <c r="L599">
        <v>900</v>
      </c>
      <c r="M599" t="s">
        <v>68</v>
      </c>
      <c r="N599">
        <v>7434954000151</v>
      </c>
    </row>
    <row r="600" spans="1:14" x14ac:dyDescent="0.25">
      <c r="A600" s="12" t="s">
        <v>159</v>
      </c>
      <c r="B600" s="2" t="s">
        <v>466</v>
      </c>
      <c r="C600" s="3" t="str">
        <f>HYPERLINK("https://transparencia-area-fim.mpce.mp.br/#/consulta/processo/pastadigital/092025000165130","09.2025.00016513-0")</f>
        <v>09.2025.00016513-0</v>
      </c>
      <c r="D600" s="4">
        <v>45854</v>
      </c>
      <c r="E600" s="16" t="s">
        <v>592</v>
      </c>
      <c r="F600" s="2" t="s">
        <v>221</v>
      </c>
      <c r="G600" s="5" t="str">
        <f>HYPERLINK("https://siafe.sefaz.ce.gov.br/Siafe/downloadSignature?token=be7dc60f60a44491b2735134ad2dd08a","2025NE001944")</f>
        <v>2025NE001944</v>
      </c>
      <c r="H600" s="6">
        <v>9750</v>
      </c>
      <c r="I600" s="7" t="s">
        <v>593</v>
      </c>
      <c r="J600" s="10" t="s">
        <v>594</v>
      </c>
      <c r="K600" t="str">
        <f>HYPERLINK("http://www8.mpce.mp.br/Empenhos/150001/NE/2024NE000690.pdf","2024NE000690")</f>
        <v>2024NE000690</v>
      </c>
      <c r="L600">
        <v>735.48</v>
      </c>
      <c r="M600" t="s">
        <v>69</v>
      </c>
      <c r="N600">
        <v>7625932000179</v>
      </c>
    </row>
    <row r="601" spans="1:14" x14ac:dyDescent="0.25">
      <c r="A601" s="12" t="s">
        <v>19</v>
      </c>
      <c r="B601" s="2" t="s">
        <v>595</v>
      </c>
      <c r="C601" s="3" t="str">
        <f>HYPERLINK("https://transparencia-area-fim.mpce.mp.br/#/consulta/processo/pastadigital/092025000177260","09.2025.00017726-0")</f>
        <v>09.2025.00017726-0</v>
      </c>
      <c r="D601" s="4">
        <v>45855</v>
      </c>
      <c r="E601" s="16" t="s">
        <v>596</v>
      </c>
      <c r="F601" s="2" t="s">
        <v>588</v>
      </c>
      <c r="G601" s="5" t="str">
        <f>HYPERLINK("https://siafe.sefaz.ce.gov.br/Siafe/downloadSignature?token=4a221d892e204b56b45fd2d1faf2d2c2","2025NE001945")</f>
        <v>2025NE001945</v>
      </c>
      <c r="H601" s="6">
        <v>20010</v>
      </c>
      <c r="I601" s="7" t="s">
        <v>597</v>
      </c>
      <c r="J601" s="10" t="s">
        <v>598</v>
      </c>
      <c r="K601" t="str">
        <f>HYPERLINK("http://www8.mpce.mp.br/Empenhos/150001/NE/2024NE000692.pdf","2024NE000692")</f>
        <v>2024NE000692</v>
      </c>
      <c r="L601">
        <v>226.05</v>
      </c>
      <c r="M601" t="s">
        <v>70</v>
      </c>
      <c r="N601">
        <v>7676836000150</v>
      </c>
    </row>
    <row r="602" spans="1:14" x14ac:dyDescent="0.25">
      <c r="A602" s="12" t="s">
        <v>159</v>
      </c>
      <c r="B602" s="2" t="s">
        <v>466</v>
      </c>
      <c r="C602" s="3" t="str">
        <f>HYPERLINK("https://transparencia-area-fim.mpce.mp.br/#/consulta/processo/pastadigital/092025000011803","09.2025.00001180-3")</f>
        <v>09.2025.00001180-3</v>
      </c>
      <c r="D602" s="4">
        <v>45972</v>
      </c>
      <c r="E602" s="16" t="str">
        <f>HYPERLINK("https://www8.mpce.mp.br/Empenhos/150001/Objeto/15-2025.pdf","MÉDIA E SPEAKER TRAINING- PELA EMPRESA ENGAJA COMUNICAÇÃO LDTA, CONFORME CONTRATO Nº 015/2025.")</f>
        <v>MÉDIA E SPEAKER TRAINING- PELA EMPRESA ENGAJA COMUNICAÇÃO LDTA, CONFORME CONTRATO Nº 015/2025.</v>
      </c>
      <c r="F602" s="2" t="s">
        <v>221</v>
      </c>
      <c r="G602" s="5" t="str">
        <f>HYPERLINK("https://siafe.sefaz.ce.gov.br/Siafe/downloadSignature?token=77a6eaf0734b4f2b8641bb75a479282f","2025NE001954")</f>
        <v>2025NE001954</v>
      </c>
      <c r="H602" s="6">
        <v>49000</v>
      </c>
      <c r="I602" s="7" t="s">
        <v>222</v>
      </c>
      <c r="J602" s="10" t="s">
        <v>223</v>
      </c>
      <c r="K602" t="str">
        <f>HYPERLINK("http://www8.mpce.mp.br/Empenhos/150001/NE/2024NE000693.pdf","2024NE000693")</f>
        <v>2024NE000693</v>
      </c>
      <c r="L602">
        <v>615</v>
      </c>
      <c r="M602" t="s">
        <v>80</v>
      </c>
      <c r="N602">
        <v>7742778000115</v>
      </c>
    </row>
    <row r="603" spans="1:14" x14ac:dyDescent="0.25">
      <c r="A603" s="12" t="s">
        <v>19</v>
      </c>
      <c r="B603" s="2" t="s">
        <v>595</v>
      </c>
      <c r="C603" s="3" t="str">
        <f>HYPERLINK("https://transparencia-area-fim.mpce.mp.br/#/consulta/processo/pastadigital/092025000177315","09.2025.00017731-5")</f>
        <v>09.2025.00017731-5</v>
      </c>
      <c r="D603" s="4">
        <v>45855</v>
      </c>
      <c r="E603" s="16" t="s">
        <v>599</v>
      </c>
      <c r="F603" s="2" t="s">
        <v>588</v>
      </c>
      <c r="G603" s="5" t="str">
        <f>HYPERLINK("https://siafe.sefaz.ce.gov.br/Siafe/downloadSignature?token=a620d75ede1b42b0bfb2878648310ad6","2025NE001956")</f>
        <v>2025NE001956</v>
      </c>
      <c r="H603" s="6">
        <v>13500</v>
      </c>
      <c r="I603" s="7" t="s">
        <v>600</v>
      </c>
      <c r="J603" s="10" t="s">
        <v>601</v>
      </c>
      <c r="K603" t="str">
        <f>HYPERLINK("http://www8.mpce.mp.br/Empenhos/150001/NE/2024NE000695.pdf","2024NE000695")</f>
        <v>2024NE000695</v>
      </c>
      <c r="L603" s="13">
        <v>3000</v>
      </c>
      <c r="M603" t="s">
        <v>71</v>
      </c>
      <c r="N603">
        <v>7817778000137</v>
      </c>
    </row>
    <row r="604" spans="1:14" x14ac:dyDescent="0.25">
      <c r="A604" s="12" t="s">
        <v>159</v>
      </c>
      <c r="B604" s="2" t="s">
        <v>317</v>
      </c>
      <c r="C604" s="3" t="str">
        <f>HYPERLINK("https://transparencia-area-fim.mpce.mp.br/#/consulta/processo/pastadigital/092025000071179","09.2025.00007117-9")</f>
        <v>09.2025.00007117-9</v>
      </c>
      <c r="D604" s="4">
        <v>45855</v>
      </c>
      <c r="E604" s="16" t="s">
        <v>602</v>
      </c>
      <c r="F604" s="2" t="s">
        <v>221</v>
      </c>
      <c r="G604" s="5" t="str">
        <f>HYPERLINK("https://siafe.sefaz.ce.gov.br/Siafe/downloadSignature?token=57b32775b6724514accf178275e40b1f","2025NE001957")</f>
        <v>2025NE001957</v>
      </c>
      <c r="H604" s="6">
        <v>7350</v>
      </c>
      <c r="I604" s="7" t="s">
        <v>603</v>
      </c>
      <c r="J604" s="10" t="s">
        <v>604</v>
      </c>
      <c r="K604" t="str">
        <f>HYPERLINK("http://www8.mpce.mp.br/Empenhos/150001/NE/2024NE000696.pdf","2024NE000696")</f>
        <v>2024NE000696</v>
      </c>
      <c r="L604">
        <v>419.16</v>
      </c>
      <c r="M604" t="s">
        <v>74</v>
      </c>
      <c r="N604">
        <v>7852676000152</v>
      </c>
    </row>
    <row r="605" spans="1:14" x14ac:dyDescent="0.25">
      <c r="A605" s="12" t="s">
        <v>19</v>
      </c>
      <c r="B605" s="2" t="s">
        <v>679</v>
      </c>
      <c r="C605" s="3" t="str">
        <f>HYPERLINK("https://transparencia-area-fim.mpce.mp.br/#/consulta/processo/pastadigital/092021000166790","09.2021.00016679-0")</f>
        <v>09.2021.00016679-0</v>
      </c>
      <c r="D605" s="4">
        <v>45974</v>
      </c>
      <c r="E605" s="16" t="str">
        <f>HYPERLINK("https://www8.mpce.mp.br/Empenhos/150001/Objeto/24-2022.pdf","EMPENHO REF. DIFERENÇA RELATIVA AO REAJUSTE DO ALUGUEL DE IMÓVEL ONDE FUNCIONAM PROMOTORIAS DE JUSTIÇA DA COMARCA DE HORIZONTE, CONF. CONTRATO 024/2022, REF. SET, OUT, NOV E DEZ"&amp;"/2025.")</f>
        <v>EMPENHO REF. DIFERENÇA RELATIVA AO REAJUSTE DO ALUGUEL DE IMÓVEL ONDE FUNCIONAM PROMOTORIAS DE JUSTIÇA DA COMARCA DE HORIZONTE, CONF. CONTRATO 024/2022, REF. SET, OUT, NOV E DEZ/2025.</v>
      </c>
      <c r="F605" s="2" t="s">
        <v>31</v>
      </c>
      <c r="G605" s="5" t="str">
        <f>HYPERLINK("https://siafe.sefaz.ce.gov.br/Siafe/downloadSignature?token=7ee4b98122964a599c59d6329550b1d7","2025NE001983")</f>
        <v>2025NE001983</v>
      </c>
      <c r="H605" s="6">
        <v>700.48</v>
      </c>
      <c r="I605" s="7" t="s">
        <v>36</v>
      </c>
      <c r="J605" s="10" t="s">
        <v>172</v>
      </c>
      <c r="K605" t="str">
        <f>HYPERLINK("http://www8.mpce.mp.br/Empenhos/150501/NE/2024NE000697.pdf","2024NE000697")</f>
        <v>2024NE000697</v>
      </c>
      <c r="L605">
        <v>460.12</v>
      </c>
      <c r="M605" t="s">
        <v>47</v>
      </c>
      <c r="N605">
        <v>78214130387</v>
      </c>
    </row>
    <row r="606" spans="1:14" x14ac:dyDescent="0.25">
      <c r="A606" s="12" t="s">
        <v>19</v>
      </c>
      <c r="B606" s="2" t="s">
        <v>187</v>
      </c>
      <c r="C606" s="3" t="str">
        <f>HYPERLINK("https://transparencia-area-fim.mpce.mp.br/#/consulta/processo/pastadigital/092021000079244","09.2021.00007924-4")</f>
        <v>09.2021.00007924-4</v>
      </c>
      <c r="D606" s="4">
        <v>45974</v>
      </c>
      <c r="E606" s="16" t="str">
        <f>HYPERLINK("https://www8.mpce.mp.br/Empenhos/150001/Objeto/27-2021.pdf","EMPENHO REF. REAJUSTE DO ALUGUEL DE IMÓVEL ONDE FUNCIONAM PROMOTORIAS DE JUSTIÇA DA COMARCA DE EUSÉBIO, CONF. CONTRATO 027/2021, REF. JUL A DEZ/2025, POR ESTIMATIVA.")</f>
        <v>EMPENHO REF. REAJUSTE DO ALUGUEL DE IMÓVEL ONDE FUNCIONAM PROMOTORIAS DE JUSTIÇA DA COMARCA DE EUSÉBIO, CONF. CONTRATO 027/2021, REF. JUL A DEZ/2025, POR ESTIMATIVA.</v>
      </c>
      <c r="F606" s="2" t="s">
        <v>130</v>
      </c>
      <c r="G606" s="5" t="str">
        <f>HYPERLINK("https://siafe.sefaz.ce.gov.br/Siafe/downloadSignature?token=c29ffdadd21942a58c7d8a211a5b6520","2025NE001984")</f>
        <v>2025NE001984</v>
      </c>
      <c r="H606" s="6">
        <v>3095.4</v>
      </c>
      <c r="I606" s="7" t="s">
        <v>43</v>
      </c>
      <c r="J606" s="10" t="s">
        <v>186</v>
      </c>
      <c r="K606" t="str">
        <f>HYPERLINK("http://www8.mpce.mp.br/Empenhos/150501/NE/2024NE000701.pdf","2024NE000701")</f>
        <v>2024NE000701</v>
      </c>
      <c r="L606" s="13">
        <v>31935.48</v>
      </c>
      <c r="M606" t="s">
        <v>51</v>
      </c>
      <c r="N606">
        <v>3773788000167</v>
      </c>
    </row>
    <row r="607" spans="1:14" x14ac:dyDescent="0.25">
      <c r="A607" s="12" t="s">
        <v>19</v>
      </c>
      <c r="B607" s="2" t="s">
        <v>187</v>
      </c>
      <c r="C607" s="3" t="str">
        <f>HYPERLINK("https://transparencia-area-fim.mpce.mp.br/#/consulta/processo/pastadigital/092021000219739","09.2021.00021973-9")</f>
        <v>09.2021.00021973-9</v>
      </c>
      <c r="D607" s="4">
        <v>45974</v>
      </c>
      <c r="E607" s="16" t="str">
        <f>HYPERLINK("https://www8.mpce.mp.br/Empenhos/150001/Objeto/45-2021.pdf","EMPENHO REF. DIFERENÇA DO ALUGUEL DE IMÓVEL ONDE FUNCIONAM PROMOTORIAS DE JUSTIÇA DA COMARCA DE EUSÉBIO, CONF. CONTRATO 045/2021, REF. NOV E DEZ/2025, POR ESTIMATIVA.")</f>
        <v>EMPENHO REF. DIFERENÇA DO ALUGUEL DE IMÓVEL ONDE FUNCIONAM PROMOTORIAS DE JUSTIÇA DA COMARCA DE EUSÉBIO, CONF. CONTRATO 045/2021, REF. NOV E DEZ/2025, POR ESTIMATIVA.</v>
      </c>
      <c r="F607" s="2" t="s">
        <v>130</v>
      </c>
      <c r="G607" s="5" t="str">
        <f>HYPERLINK("https://siafe.sefaz.ce.gov.br/Siafe/downloadSignature?token=60418c71bdfa4f009829c9507632ec91","2025NE001985")</f>
        <v>2025NE001985</v>
      </c>
      <c r="H607" s="6">
        <v>242.46</v>
      </c>
      <c r="I607" s="7" t="s">
        <v>43</v>
      </c>
      <c r="J607" s="10" t="s">
        <v>186</v>
      </c>
      <c r="K607" t="str">
        <f>HYPERLINK("http://www8.mpce.mp.br/Empenhos/150501/NE/2024NE000701.pdf","2024NE000701")</f>
        <v>2024NE000701</v>
      </c>
      <c r="L607" s="13">
        <v>31935.48</v>
      </c>
      <c r="M607" t="s">
        <v>51</v>
      </c>
      <c r="N607">
        <v>3773788000167</v>
      </c>
    </row>
    <row r="608" spans="1:14" x14ac:dyDescent="0.25">
      <c r="A608" s="12" t="s">
        <v>19</v>
      </c>
      <c r="B608" s="2" t="s">
        <v>679</v>
      </c>
      <c r="C608" s="3" t="str">
        <f>HYPERLINK("https://transparencia-area-fim.mpce.mp.br/#/consulta/processo/pastadigital/092021000244449","09.2021.00024444-9")</f>
        <v>09.2021.00024444-9</v>
      </c>
      <c r="D608" s="4">
        <v>45974</v>
      </c>
      <c r="E608" s="16" t="str">
        <f>HYPERLINK("https://www8.mpce.mp.br/Empenhos/150001/Objeto/12-2022.pdf","EMPENHO REF. DIFERENÇA DO ALUGUEL DE IMÓVEL ONDE FUNCIONAM PROMOTORIAS DE JUSTIÇA DA COMARCA DE RUSSAS, CONF. CONTRATO 012/2022, REF. DEZ/2025, POR ESTIMATIVA.")</f>
        <v>EMPENHO REF. DIFERENÇA DO ALUGUEL DE IMÓVEL ONDE FUNCIONAM PROMOTORIAS DE JUSTIÇA DA COMARCA DE RUSSAS, CONF. CONTRATO 012/2022, REF. DEZ/2025, POR ESTIMATIVA.</v>
      </c>
      <c r="F608" s="2" t="s">
        <v>130</v>
      </c>
      <c r="G608" s="5" t="str">
        <f>HYPERLINK("https://siafe.sefaz.ce.gov.br/Siafe/downloadSignature?token=e72fa25580584d34acee1c103f184c32","2025NE001986")</f>
        <v>2025NE001986</v>
      </c>
      <c r="H608" s="6">
        <v>1534.29</v>
      </c>
      <c r="I608" s="7" t="s">
        <v>744</v>
      </c>
      <c r="J608" s="10" t="s">
        <v>745</v>
      </c>
      <c r="K608" t="str">
        <f>HYPERLINK("http://www8.mpce.mp.br/Empenhos/150501/NE/2024NE000701.pdf","2024NE000701")</f>
        <v>2024NE000701</v>
      </c>
      <c r="L608" s="13">
        <v>31935.48</v>
      </c>
      <c r="M608" t="s">
        <v>51</v>
      </c>
      <c r="N608">
        <v>3773788000167</v>
      </c>
    </row>
    <row r="609" spans="1:14" x14ac:dyDescent="0.25">
      <c r="A609" s="12" t="s">
        <v>19</v>
      </c>
      <c r="B609" s="2" t="s">
        <v>380</v>
      </c>
      <c r="C609" s="3" t="str">
        <f>HYPERLINK("https://transparencia-area-fim.mpce.mp.br/#/consulta/processo/pastadigital/092021000064195","09.2021.00006419-5")</f>
        <v>09.2021.00006419-5</v>
      </c>
      <c r="D609" s="4">
        <v>45974</v>
      </c>
      <c r="E609" s="16" t="str">
        <f>HYPERLINK("https://www8.mpce.mp.br/Empenhos/150001/Objeto/41-2021.pdf","EMPENHO REF. DIFERENÇA DO ALUGUEL DE IMÓVEL ONDE FUNCIONAM PROMOTORIAS DE JUSTIÇA DA COMARCA DE QUIXADÁ, CONF. CONTRATO 041/2021, REF. JUL A DEZ/2025, POR ESTIMATIVA.")</f>
        <v>EMPENHO REF. DIFERENÇA DO ALUGUEL DE IMÓVEL ONDE FUNCIONAM PROMOTORIAS DE JUSTIÇA DA COMARCA DE QUIXADÁ, CONF. CONTRATO 041/2021, REF. JUL A DEZ/2025, POR ESTIMATIVA.</v>
      </c>
      <c r="F609" s="2" t="s">
        <v>130</v>
      </c>
      <c r="G609" s="5" t="str">
        <f>HYPERLINK("https://siafe.sefaz.ce.gov.br/Siafe/downloadSignature?token=7c23b5d2ea4e40df9ad6f9d5395b04de","2025NE001987")</f>
        <v>2025NE001987</v>
      </c>
      <c r="H609" s="6">
        <v>8132.46</v>
      </c>
      <c r="I609" s="7" t="s">
        <v>742</v>
      </c>
      <c r="J609" s="10" t="s">
        <v>743</v>
      </c>
      <c r="K609" t="str">
        <f>HYPERLINK("http://www8.mpce.mp.br/Empenhos/150001/NE/2024NE000702.pdf","2024NE000702")</f>
        <v>2024NE000702</v>
      </c>
      <c r="L609" s="13">
        <v>45000</v>
      </c>
      <c r="M609" t="s">
        <v>75</v>
      </c>
      <c r="N609">
        <v>7040108000157</v>
      </c>
    </row>
    <row r="610" spans="1:14" x14ac:dyDescent="0.25">
      <c r="A610" s="12" t="s">
        <v>19</v>
      </c>
      <c r="B610" s="2" t="s">
        <v>253</v>
      </c>
      <c r="C610" s="3" t="str">
        <f>HYPERLINK("https://transparencia-area-fim.mpce.mp.br/#/consulta/processo/pastadigital/092022000343829","09.2022.00034382-9")</f>
        <v>09.2022.00034382-9</v>
      </c>
      <c r="D610" s="4">
        <v>45974</v>
      </c>
      <c r="E610" s="16" t="str">
        <f>HYPERLINK("https://www8.mpce.mp.br/Empenhos/150001/Objeto/10-2023.pdf","EMPENHO REF. DIFERENÇA DO ALUGUEL DE IMÓVEL ONDE FUNCIONAM PROMOTORIAS DE JUSTIÇA DA COMARCA DE ITAPAJÉ, CONF. CONTRATO 010/2023, REF. NOV E DEZ/2025, POR ESTIMATIVA.")</f>
        <v>EMPENHO REF. DIFERENÇA DO ALUGUEL DE IMÓVEL ONDE FUNCIONAM PROMOTORIAS DE JUSTIÇA DA COMARCA DE ITAPAJÉ, CONF. CONTRATO 010/2023, REF. NOV E DEZ/2025, POR ESTIMATIVA.</v>
      </c>
      <c r="F610" s="2" t="s">
        <v>130</v>
      </c>
      <c r="G610" s="5" t="str">
        <f>HYPERLINK("https://siafe.sefaz.ce.gov.br/Siafe/downloadSignature?token=1dfdac55133e41ca86b6a5268a91da84","2025NE001988")</f>
        <v>2025NE001988</v>
      </c>
      <c r="H610" s="6">
        <v>1996.34</v>
      </c>
      <c r="I610" s="7" t="s">
        <v>747</v>
      </c>
      <c r="J610" s="10" t="s">
        <v>748</v>
      </c>
      <c r="K610" t="str">
        <f>HYPERLINK("http://www8.mpce.mp.br/Empenhos/150001/NE/2024NE000703.pdf","2024NE000703")</f>
        <v>2024NE000703</v>
      </c>
      <c r="L610" s="13">
        <v>2850</v>
      </c>
      <c r="M610" t="s">
        <v>91</v>
      </c>
      <c r="N610">
        <v>90347840001190</v>
      </c>
    </row>
    <row r="611" spans="1:14" x14ac:dyDescent="0.25">
      <c r="A611" s="12" t="s">
        <v>19</v>
      </c>
      <c r="B611" s="2" t="s">
        <v>187</v>
      </c>
      <c r="C611" s="3" t="str">
        <f>HYPERLINK("https://transparencia-area-fim.mpce.mp.br/#/consulta/processo/pastadigital/092021000244550","09.2021.00024455-0")</f>
        <v>09.2021.00024455-0</v>
      </c>
      <c r="D611" s="4">
        <v>45974</v>
      </c>
      <c r="E611" s="16" t="str">
        <f>HYPERLINK("https://www8.mpce.mp.br/Empenhos/150001/Objeto/10-2022.pdf","EMPENHO REF. DIFERENÇA DO ALUGUEL DE IMÓVEL ONDE FUNCIONAM PROMOTORIAS DE JUSTIÇA DA COMARCA DE ICÓ, CONF. CONTRATO 010/2022, REF. NOV E DEZ/2025, POR ESTIMATIVA.")</f>
        <v>EMPENHO REF. DIFERENÇA DO ALUGUEL DE IMÓVEL ONDE FUNCIONAM PROMOTORIAS DE JUSTIÇA DA COMARCA DE ICÓ, CONF. CONTRATO 010/2022, REF. NOV E DEZ/2025, POR ESTIMATIVA.</v>
      </c>
      <c r="F611" s="2" t="s">
        <v>130</v>
      </c>
      <c r="G611" s="5" t="str">
        <f>HYPERLINK("https://siafe.sefaz.ce.gov.br/Siafe/downloadSignature?token=cb59e6cc5e7e4ea6bebcbc6b296d6547","2025NE001989")</f>
        <v>2025NE001989</v>
      </c>
      <c r="H611" s="6">
        <v>1977.48</v>
      </c>
      <c r="I611" s="7" t="s">
        <v>25</v>
      </c>
      <c r="J611" s="10" t="s">
        <v>148</v>
      </c>
      <c r="K611" t="str">
        <f>HYPERLINK("http://www8.mpce.mp.br/Empenhos/150501/NE/2024NE000703.pdf","2024NE000703")</f>
        <v>2024NE000703</v>
      </c>
      <c r="L611" s="13">
        <v>6216.42</v>
      </c>
      <c r="M611" t="s">
        <v>51</v>
      </c>
      <c r="N611">
        <v>3773788000167</v>
      </c>
    </row>
    <row r="612" spans="1:14" x14ac:dyDescent="0.25">
      <c r="A612" s="12" t="s">
        <v>19</v>
      </c>
      <c r="B612" s="2" t="s">
        <v>187</v>
      </c>
      <c r="C612" s="3" t="str">
        <f>HYPERLINK("https://transparencia-area-fim.mpce.mp.br/#/consulta/processo/pastadigital/092022000343751","09.2022.00034375-1")</f>
        <v>09.2022.00034375-1</v>
      </c>
      <c r="D612" s="4">
        <v>45974</v>
      </c>
      <c r="E612" s="16" t="str">
        <f>HYPERLINK("https://www8.mpce.mp.br/Empenhos/150001/Objeto/08-2023.pdf","EMPENHO REF. DIFERENÇA DO ALUGUEL DE IMÓVEL ONDE FUNCIONAM PROMOTORIAS DE JUSTIÇA DA COMARCA DE QUIXERAMOBIM, CONF. CONTRATO 008/2023, REF. SET A DEZ/2025, POR ESTIMATIVA.")</f>
        <v>EMPENHO REF. DIFERENÇA DO ALUGUEL DE IMÓVEL ONDE FUNCIONAM PROMOTORIAS DE JUSTIÇA DA COMARCA DE QUIXERAMOBIM, CONF. CONTRATO 008/2023, REF. SET A DEZ/2025, POR ESTIMATIVA.</v>
      </c>
      <c r="F612" s="2" t="s">
        <v>130</v>
      </c>
      <c r="G612" s="5" t="str">
        <f>HYPERLINK("https://siafe.sefaz.ce.gov.br/Siafe/downloadSignature?token=c395fa362cea4f6f8ef7002b70a6e972","2025NE001990")</f>
        <v>2025NE001990</v>
      </c>
      <c r="H612" s="6">
        <v>4137.28</v>
      </c>
      <c r="I612" s="7" t="s">
        <v>753</v>
      </c>
      <c r="J612" s="10" t="s">
        <v>754</v>
      </c>
      <c r="K612" t="str">
        <f t="shared" ref="K612:K621" si="0">HYPERLINK("http://www8.mpce.mp.br/Empenhos/150501/NE/2024NE000704.pdf","2024NE000704")</f>
        <v>2024NE000704</v>
      </c>
      <c r="L612" s="13">
        <v>104500</v>
      </c>
      <c r="M612" t="s">
        <v>73</v>
      </c>
      <c r="N612">
        <v>82845322000104</v>
      </c>
    </row>
    <row r="613" spans="1:14" x14ac:dyDescent="0.25">
      <c r="A613" s="12" t="s">
        <v>19</v>
      </c>
      <c r="B613" s="2" t="s">
        <v>187</v>
      </c>
      <c r="C613" s="3" t="str">
        <f>HYPERLINK("https://transparencia-area-fim.mpce.mp.br/#/consulta/processo/pastadigital/092022000264193","09.2022.00026419-3")</f>
        <v>09.2022.00026419-3</v>
      </c>
      <c r="D613" s="4">
        <v>45974</v>
      </c>
      <c r="E613" s="16" t="str">
        <f>HYPERLINK("https://www8.mpce.mp.br/Empenhos/150001/Objeto/28-2022.pdf","EMPENHO REF. DIFERENÇA DO ALUGUEL DE IMÓVEL ONDE FUNCIONAM PROMOTORIAS DE JUSTIÇA DA COMARCA DE AURORA, CONF. CONTRATO 028/2022, REF. SET A DEZ/2025, POR ESTIMATIVA.")</f>
        <v>EMPENHO REF. DIFERENÇA DO ALUGUEL DE IMÓVEL ONDE FUNCIONAM PROMOTORIAS DE JUSTIÇA DA COMARCA DE AURORA, CONF. CONTRATO 028/2022, REF. SET A DEZ/2025, POR ESTIMATIVA.</v>
      </c>
      <c r="F613" s="2" t="s">
        <v>31</v>
      </c>
      <c r="G613" s="5" t="str">
        <f>HYPERLINK("https://siafe.sefaz.ce.gov.br/Siafe/downloadSignature?token=f53f5f11ea4740578c612694fc8c221f","2025NE001992")</f>
        <v>2025NE001992</v>
      </c>
      <c r="H613" s="6">
        <v>583.28</v>
      </c>
      <c r="I613" s="7" t="s">
        <v>618</v>
      </c>
      <c r="J613" s="10" t="s">
        <v>619</v>
      </c>
      <c r="K613" t="str">
        <f t="shared" si="0"/>
        <v>2024NE000704</v>
      </c>
      <c r="L613" s="13">
        <v>104500</v>
      </c>
      <c r="M613" t="s">
        <v>73</v>
      </c>
      <c r="N613">
        <v>82845322000104</v>
      </c>
    </row>
    <row r="614" spans="1:14" x14ac:dyDescent="0.25">
      <c r="A614" s="12" t="s">
        <v>19</v>
      </c>
      <c r="B614" s="2" t="s">
        <v>678</v>
      </c>
      <c r="C614" s="3" t="str">
        <f>HYPERLINK("https://transparencia-area-fim.mpce.mp.br/#/consulta/processo/pastadigital/092022000091296","09.2022.00009129-6")</f>
        <v>09.2022.00009129-6</v>
      </c>
      <c r="D614" s="4">
        <v>45974</v>
      </c>
      <c r="E614" s="16" t="str">
        <f>HYPERLINK("https://www8.mpce.mp.br/Empenhos/150001/Objeto/33-2022.pdf","EMPENHO REF. DIFERENÇA DO ALUGUEL DE IMÓVEL ONDE FUNCIONAM PROMOTORIAS DE JUSTIÇA DA COMARCA DE VÁRZEA ALEGRE, CONF. CONTRATO 033/2022, REF. SET A DEZ/2025, POR ESTIMATIVA.")</f>
        <v>EMPENHO REF. DIFERENÇA DO ALUGUEL DE IMÓVEL ONDE FUNCIONAM PROMOTORIAS DE JUSTIÇA DA COMARCA DE VÁRZEA ALEGRE, CONF. CONTRATO 033/2022, REF. SET A DEZ/2025, POR ESTIMATIVA.</v>
      </c>
      <c r="F614" s="2" t="s">
        <v>31</v>
      </c>
      <c r="G614" s="5" t="str">
        <f>HYPERLINK("https://siafe.sefaz.ce.gov.br/Siafe/downloadSignature?token=cab264fb67b443d6907a640a51a9373e","2025NE001994")</f>
        <v>2025NE001994</v>
      </c>
      <c r="H614" s="6">
        <v>233.92</v>
      </c>
      <c r="I614" s="7" t="s">
        <v>33</v>
      </c>
      <c r="J614" s="10" t="s">
        <v>165</v>
      </c>
      <c r="K614" t="str">
        <f t="shared" si="0"/>
        <v>2024NE000704</v>
      </c>
      <c r="L614" s="13">
        <v>104500</v>
      </c>
      <c r="M614" t="s">
        <v>73</v>
      </c>
      <c r="N614">
        <v>82845322000104</v>
      </c>
    </row>
    <row r="615" spans="1:14" x14ac:dyDescent="0.25">
      <c r="A615" s="12" t="s">
        <v>19</v>
      </c>
      <c r="B615" s="2" t="s">
        <v>187</v>
      </c>
      <c r="C615" s="3" t="str">
        <f>HYPERLINK("https://transparencia-area-fim.mpce.mp.br/#/consulta/processo/pastadigital/092021000121226","09.2021.00012122-6")</f>
        <v>09.2021.00012122-6</v>
      </c>
      <c r="D615" s="4">
        <v>45974</v>
      </c>
      <c r="E615" s="16" t="str">
        <f>HYPERLINK("https://www8.mpce.mp.br/Empenhos/150001/Objeto/34-2021.pdf","EMPENHO REF. IPTU DE IMÓVEL ONDE FUNCIONAM PROMOTORIAS DE JUSTIÇA DA COMARCA DE SÃO BENEDITO, CONF. CONTRATO 034/2021, REF. 2025 - PARC. 01, 02 E 03.")</f>
        <v>EMPENHO REF. IPTU DE IMÓVEL ONDE FUNCIONAM PROMOTORIAS DE JUSTIÇA DA COMARCA DE SÃO BENEDITO, CONF. CONTRATO 034/2021, REF. 2025 - PARC. 01, 02 E 03.</v>
      </c>
      <c r="F615" s="2" t="s">
        <v>361</v>
      </c>
      <c r="G615" s="5" t="str">
        <f>HYPERLINK("https://siafe.sefaz.ce.gov.br/Siafe/downloadSignature?token=19c5a4c75f6d46e5be3806d15aca0725","2025NE001997")</f>
        <v>2025NE001997</v>
      </c>
      <c r="H615" s="6">
        <v>294.36</v>
      </c>
      <c r="I615" s="7" t="s">
        <v>38</v>
      </c>
      <c r="J615" s="10" t="s">
        <v>176</v>
      </c>
      <c r="K615" t="str">
        <f t="shared" si="0"/>
        <v>2024NE000704</v>
      </c>
      <c r="L615" s="13">
        <v>104500</v>
      </c>
      <c r="M615" t="s">
        <v>73</v>
      </c>
      <c r="N615">
        <v>82845322000104</v>
      </c>
    </row>
    <row r="616" spans="1:14" x14ac:dyDescent="0.25">
      <c r="A616" s="12" t="s">
        <v>19</v>
      </c>
      <c r="B616" s="2" t="s">
        <v>605</v>
      </c>
      <c r="C616" s="3" t="str">
        <f>HYPERLINK("https://transparencia-area-fim.mpce.mp.br/#/consulta/processo/pastadigital/092020000071437","09.2020.00007143-7")</f>
        <v>09.2020.00007143-7</v>
      </c>
      <c r="D616" s="4">
        <v>45860</v>
      </c>
      <c r="E616" s="16" t="str">
        <f>HYPERLINK("https://www8.mpce.mp.br/Empenhos/150001/Objeto/23-2020.pdf","FORNECIMENTO DE PRODUTOS E DE DIVERSOS SERVIÇOS DOS CORREIOS POR MEIO DOS CANAIS DE ATENDIMENTO DISPONIBILIZADOS, CONF. CONTRATO Nº 023/2020, REF. AOS MESES DE JULHO A SETEMBRO/"&amp;"2025.")</f>
        <v>FORNECIMENTO DE PRODUTOS E DE DIVERSOS SERVIÇOS DOS CORREIOS POR MEIO DOS CANAIS DE ATENDIMENTO DISPONIBILIZADOS, CONF. CONTRATO Nº 023/2020, REF. AOS MESES DE JULHO A SETEMBRO/2025.</v>
      </c>
      <c r="F616" s="2" t="s">
        <v>206</v>
      </c>
      <c r="G616" s="5" t="str">
        <f>HYPERLINK("https://siafe.sefaz.ce.gov.br/Siafe/downloadSignature?token=9f24e4e135ac43ceb8593cb1cef6aa00","2025NE001998")</f>
        <v>2025NE001998</v>
      </c>
      <c r="H616" s="6">
        <v>60000</v>
      </c>
      <c r="I616" s="7" t="s">
        <v>50</v>
      </c>
      <c r="J616" s="10" t="s">
        <v>207</v>
      </c>
      <c r="K616" t="str">
        <f t="shared" si="0"/>
        <v>2024NE000704</v>
      </c>
      <c r="L616" s="13">
        <v>104500</v>
      </c>
      <c r="M616" t="s">
        <v>73</v>
      </c>
      <c r="N616">
        <v>82845322000104</v>
      </c>
    </row>
    <row r="617" spans="1:14" x14ac:dyDescent="0.25">
      <c r="A617" s="12" t="s">
        <v>159</v>
      </c>
      <c r="B617" s="2" t="s">
        <v>220</v>
      </c>
      <c r="C617" s="3" t="str">
        <f>HYPERLINK("https://transparencia-area-fim.mpce.mp.br/#/consulta/processo/pastadigital/092025000080890","09.2025.00008089-0")</f>
        <v>09.2025.00008089-0</v>
      </c>
      <c r="D617" s="4">
        <v>45974</v>
      </c>
      <c r="E617" s="16" t="str">
        <f>HYPERLINK("https://www8.mpce.mp.br/Empenhos/150001/Objeto/-2024-1.pdf","SUPLEMENTAÇÃO DA NED 2025NE000747, CONF. SOLICITAÇÃO DO GESTOR (FLS. 78), REF. JUN/2025.")</f>
        <v>SUPLEMENTAÇÃO DA NED 2025NE000747, CONF. SOLICITAÇÃO DO GESTOR (FLS. 78), REF. JUN/2025.</v>
      </c>
      <c r="F617" s="2" t="s">
        <v>233</v>
      </c>
      <c r="G617" s="5" t="str">
        <f>HYPERLINK("https://siafe.sefaz.ce.gov.br/Siafe/downloadSignature?token=ed2756d0c1dc47d5886d82771471911c","2025NE002000")</f>
        <v>2025NE002000</v>
      </c>
      <c r="H617" s="6">
        <v>393.47</v>
      </c>
      <c r="I617" s="7" t="s">
        <v>56</v>
      </c>
      <c r="J617" s="10" t="s">
        <v>234</v>
      </c>
      <c r="K617" t="str">
        <f t="shared" si="0"/>
        <v>2024NE000704</v>
      </c>
      <c r="L617" s="13">
        <v>104500</v>
      </c>
      <c r="M617" t="s">
        <v>73</v>
      </c>
      <c r="N617">
        <v>82845322000104</v>
      </c>
    </row>
    <row r="618" spans="1:14" x14ac:dyDescent="0.25">
      <c r="A618" s="12" t="s">
        <v>19</v>
      </c>
      <c r="B618" s="2" t="s">
        <v>606</v>
      </c>
      <c r="C618" s="3" t="str">
        <f>HYPERLINK("https://transparencia-area-fim.mpce.mp.br/#/consulta/processo/pastadigital/092025000182718","09.2025.00018271-8")</f>
        <v>09.2025.00018271-8</v>
      </c>
      <c r="D618" s="4">
        <v>45861</v>
      </c>
      <c r="E618" s="16" t="s">
        <v>607</v>
      </c>
      <c r="F618" s="2" t="s">
        <v>291</v>
      </c>
      <c r="G618" s="5" t="str">
        <f>HYPERLINK("https://siafe.sefaz.ce.gov.br/Siafe/downloadSignature?token=8c1e9356c26b42ec9d215a52f5b899dd","2025NE002006")</f>
        <v>2025NE002006</v>
      </c>
      <c r="H618" s="6">
        <v>276000</v>
      </c>
      <c r="I618" s="7" t="s">
        <v>292</v>
      </c>
      <c r="J618" s="10" t="s">
        <v>293</v>
      </c>
      <c r="K618" t="str">
        <f t="shared" si="0"/>
        <v>2024NE000704</v>
      </c>
      <c r="L618" s="13">
        <v>104500</v>
      </c>
      <c r="M618" t="s">
        <v>73</v>
      </c>
      <c r="N618">
        <v>82845322000104</v>
      </c>
    </row>
    <row r="619" spans="1:14" x14ac:dyDescent="0.25">
      <c r="A619" s="12" t="s">
        <v>19</v>
      </c>
      <c r="B619" s="2" t="s">
        <v>606</v>
      </c>
      <c r="C619" s="3" t="str">
        <f>HYPERLINK("https://transparencia-area-fim.mpce.mp.br/#/consulta/processo/pastadigital/092024000242263","09.2024.00024226-3")</f>
        <v>09.2024.00024226-3</v>
      </c>
      <c r="D619" s="4">
        <v>45861</v>
      </c>
      <c r="E619" s="16" t="str">
        <f>HYPERLINK("https://www8.mpce.mp.br/Empenhos/150001/Objeto/77-2024.pdf","SERVIÇOS ESPECIALIZADOS DE IMPLEMENTAÇÃO DE SOLUÇÃO DE TI-PLATAFORMA EHATSAPP RE A JULHO, AGOSTO E SETEMBRO/2025")</f>
        <v>SERVIÇOS ESPECIALIZADOS DE IMPLEMENTAÇÃO DE SOLUÇÃO DE TI-PLATAFORMA EHATSAPP RE A JULHO, AGOSTO E SETEMBRO/2025</v>
      </c>
      <c r="F619" s="2" t="s">
        <v>291</v>
      </c>
      <c r="G619" s="5" t="str">
        <f>HYPERLINK("https://siafe.sefaz.ce.gov.br/Siafe/downloadSignature?token=b909dc9dddd54777a162cbd1c476024f","2025NE002009")</f>
        <v>2025NE002009</v>
      </c>
      <c r="H619" s="6">
        <v>2721.54</v>
      </c>
      <c r="I619" s="7" t="s">
        <v>336</v>
      </c>
      <c r="J619" s="10" t="s">
        <v>337</v>
      </c>
      <c r="K619" t="str">
        <f t="shared" si="0"/>
        <v>2024NE000704</v>
      </c>
      <c r="L619" s="13">
        <v>104500</v>
      </c>
      <c r="M619" t="s">
        <v>73</v>
      </c>
      <c r="N619">
        <v>82845322000104</v>
      </c>
    </row>
    <row r="620" spans="1:14" x14ac:dyDescent="0.25">
      <c r="A620" s="12" t="s">
        <v>159</v>
      </c>
      <c r="B620" s="2" t="s">
        <v>258</v>
      </c>
      <c r="C620" s="3" t="str">
        <f>HYPERLINK("https://transparencia-area-fim.mpce.mp.br/#/consulta/processo/pastadigital/092025000282637","09.2025.00028263-7")</f>
        <v>09.2025.00028263-7</v>
      </c>
      <c r="D620" s="4">
        <v>45979</v>
      </c>
      <c r="E620" s="16" t="s">
        <v>773</v>
      </c>
      <c r="F620" s="2" t="s">
        <v>255</v>
      </c>
      <c r="G620" s="5" t="str">
        <f>HYPERLINK("http://www8.mpce.mp.br/Empenhos/150501/NE/2025NE002053.pdf","2025NE002053")</f>
        <v>2025NE002053</v>
      </c>
      <c r="H620" s="6">
        <v>24.84</v>
      </c>
      <c r="I620" s="7" t="s">
        <v>81</v>
      </c>
      <c r="J620" s="10" t="s">
        <v>297</v>
      </c>
      <c r="K620" t="str">
        <f t="shared" si="0"/>
        <v>2024NE000704</v>
      </c>
      <c r="L620" s="13">
        <v>104500</v>
      </c>
      <c r="M620" t="s">
        <v>73</v>
      </c>
      <c r="N620">
        <v>82845322000104</v>
      </c>
    </row>
    <row r="621" spans="1:14" x14ac:dyDescent="0.25">
      <c r="A621" s="12" t="s">
        <v>159</v>
      </c>
      <c r="B621" s="2" t="s">
        <v>466</v>
      </c>
      <c r="C621" s="3" t="str">
        <f>HYPERLINK("https://transparencia-area-fim.mpce.mp.br/#/consulta/processo/pastadigital/092022000409094","09.2022.00040909-4")</f>
        <v>09.2022.00040909-4</v>
      </c>
      <c r="D621" s="4">
        <v>45980</v>
      </c>
      <c r="E621" s="16" t="str">
        <f>HYPERLINK("https://www8.mpce.mp.br/Empenhos/150001/Objeto/41-2023.pdf","EMPENHO DE IPTU/2025 PARCELAS 01 A 05 , DO IMÓVEL DAS PROMOTORIAS DE JUSTIÇA DA COMARCA DE GUARACIABA DPO NORTE.")</f>
        <v>EMPENHO DE IPTU/2025 PARCELAS 01 A 05 , DO IMÓVEL DAS PROMOTORIAS DE JUSTIÇA DA COMARCA DE GUARACIABA DPO NORTE.</v>
      </c>
      <c r="F621" s="2" t="s">
        <v>361</v>
      </c>
      <c r="G621" s="5" t="str">
        <f>HYPERLINK("https://siafe.sefaz.ce.gov.br/Siafe/downloadSignature?token=4036ff69a07c4258b7596da4aca3a622","2025NE002060")</f>
        <v>2025NE002060</v>
      </c>
      <c r="H621" s="6">
        <v>348.63</v>
      </c>
      <c r="I621" s="7" t="s">
        <v>45</v>
      </c>
      <c r="J621" s="10" t="s">
        <v>193</v>
      </c>
      <c r="K621" t="str">
        <f t="shared" si="0"/>
        <v>2024NE000704</v>
      </c>
      <c r="L621" s="13">
        <v>104500</v>
      </c>
      <c r="M621" t="s">
        <v>73</v>
      </c>
      <c r="N621">
        <v>82845322000104</v>
      </c>
    </row>
    <row r="622" spans="1:14" x14ac:dyDescent="0.25">
      <c r="A622" s="12" t="s">
        <v>159</v>
      </c>
      <c r="B622" s="2" t="s">
        <v>466</v>
      </c>
      <c r="C622" s="3" t="str">
        <f>HYPERLINK("https://transparencia-area-fim.mpce.mp.br/#/consulta/processo/pastadigital/092024000115580","09.2024.00011558-0")</f>
        <v>09.2024.00011558-0</v>
      </c>
      <c r="D622" s="4">
        <v>45980</v>
      </c>
      <c r="E622" s="16" t="str">
        <f>HYPERLINK("https://www8.mpce.mp.br/Empenhos/150001/Objeto/16-2025.pdf","EMPENHO DE IPTU/2025 06 PARCELAS , DO IMÓVEL DAS PROMOTORIAS DE JUSTIÇA DA COMARCA DE NOVA RUSSAS -CE, CONFORME CONTRATO 016/2025")</f>
        <v>EMPENHO DE IPTU/2025 06 PARCELAS , DO IMÓVEL DAS PROMOTORIAS DE JUSTIÇA DA COMARCA DE NOVA RUSSAS -CE, CONFORME CONTRATO 016/2025</v>
      </c>
      <c r="F622" s="2" t="s">
        <v>361</v>
      </c>
      <c r="G622" s="5" t="str">
        <f>HYPERLINK("https://siafe.sefaz.ce.gov.br/Siafe/downloadSignature?token=469bc9638cf642aa9385c1eb4cf1739c","2025NE002062")</f>
        <v>2025NE002062</v>
      </c>
      <c r="H622" s="6">
        <v>136.5</v>
      </c>
      <c r="I622" s="7" t="s">
        <v>487</v>
      </c>
      <c r="J622" s="10" t="s">
        <v>488</v>
      </c>
      <c r="K622" t="str">
        <f t="shared" ref="K622:K631" si="1">HYPERLINK("http://www8.mpce.mp.br/Empenhos/150501/NE/2024NE000705.pdf","2024NE000705")</f>
        <v>2024NE000705</v>
      </c>
      <c r="L622" s="13">
        <v>18529.2</v>
      </c>
      <c r="M622" t="s">
        <v>73</v>
      </c>
      <c r="N622">
        <v>82845322000104</v>
      </c>
    </row>
    <row r="623" spans="1:14" x14ac:dyDescent="0.25">
      <c r="A623" s="12" t="s">
        <v>19</v>
      </c>
      <c r="B623" s="2" t="s">
        <v>605</v>
      </c>
      <c r="C623" s="3" t="str">
        <f>HYPERLINK("https://transparencia-area-fim.mpce.mp.br/#/consulta/processo/pastadigital/092022000197876","09.2022.00019787-6")</f>
        <v>09.2022.00019787-6</v>
      </c>
      <c r="D623" s="4">
        <v>45980</v>
      </c>
      <c r="E623" s="16" t="str">
        <f>HYPERLINK("https://www8.mpce.mp.br/Empenhos/150001/Objeto/02-2023.pdf","PARCELA ÚNICA DAS SALAS 01 E 02 DOS NÚCLEOS DE MEDIAÇÃO COMUNITÁRIA-BOM JARDIM, EXERCÍCIO DE 2025, CONTRATO 002/2023/PGJ ")</f>
        <v xml:space="preserve">PARCELA ÚNICA DAS SALAS 01 E 02 DOS NÚCLEOS DE MEDIAÇÃO COMUNITÁRIA-BOM JARDIM, EXERCÍCIO DE 2025, CONTRATO 002/2023/PGJ </v>
      </c>
      <c r="F623" s="2" t="s">
        <v>323</v>
      </c>
      <c r="G623" s="5" t="str">
        <f>HYPERLINK("https://siafe.sefaz.ce.gov.br/Siafe/downloadSignature?token=f0e24169b0ac4fac92a6d2f988acedc4","2025NE002064")</f>
        <v>2025NE002064</v>
      </c>
      <c r="H623" s="6">
        <v>652.88</v>
      </c>
      <c r="I623" s="7" t="s">
        <v>28</v>
      </c>
      <c r="J623" s="10" t="s">
        <v>156</v>
      </c>
      <c r="K623" t="str">
        <f t="shared" si="1"/>
        <v>2024NE000705</v>
      </c>
      <c r="L623" s="13">
        <v>18529.2</v>
      </c>
      <c r="M623" t="s">
        <v>73</v>
      </c>
      <c r="N623">
        <v>82845322000104</v>
      </c>
    </row>
    <row r="624" spans="1:14" x14ac:dyDescent="0.25">
      <c r="A624" s="12" t="s">
        <v>19</v>
      </c>
      <c r="B624" s="2" t="s">
        <v>605</v>
      </c>
      <c r="C624" s="3" t="str">
        <f>HYPERLINK("https://transparencia-area-fim.mpce.mp.br/#/consulta/processo/pastadigital/092023000338552","09.2023.00033855-2")</f>
        <v>09.2023.00033855-2</v>
      </c>
      <c r="D624" s="4">
        <v>45980</v>
      </c>
      <c r="E624" s="16" t="str">
        <f>HYPERLINK("https://www8.mpce.mp.br/Empenhos/150001/Objeto/17-2024.pdf","	IPTU- PARCELA ÚNICA DE 2025, CONFORME CONTRATO 017/2024 DO IMÓVEL ONDE FUNCIONAM AS PROMOTORIAS DE MARANGUAPE-CE.")</f>
        <v xml:space="preserve">	IPTU- PARCELA ÚNICA DE 2025, CONFORME CONTRATO 017/2024 DO IMÓVEL ONDE FUNCIONAM AS PROMOTORIAS DE MARANGUAPE-CE.</v>
      </c>
      <c r="F624" s="2" t="s">
        <v>323</v>
      </c>
      <c r="G624" s="5" t="str">
        <f>HYPERLINK("https://siafe.sefaz.ce.gov.br/Siafe/downloadSignature?token=382a5ee17f78487ea248c67291be3203","2025NE002065")</f>
        <v>2025NE002065</v>
      </c>
      <c r="H624" s="6">
        <v>2756.09</v>
      </c>
      <c r="I624" s="7" t="s">
        <v>218</v>
      </c>
      <c r="J624" s="10" t="s">
        <v>219</v>
      </c>
      <c r="K624" t="str">
        <f t="shared" si="1"/>
        <v>2024NE000705</v>
      </c>
      <c r="L624" s="13">
        <v>18529.2</v>
      </c>
      <c r="M624" t="s">
        <v>73</v>
      </c>
      <c r="N624">
        <v>82845322000104</v>
      </c>
    </row>
    <row r="625" spans="1:14" x14ac:dyDescent="0.25">
      <c r="A625" s="12" t="s">
        <v>159</v>
      </c>
      <c r="B625" s="2" t="s">
        <v>466</v>
      </c>
      <c r="C625" s="3" t="str">
        <f>HYPERLINK("https://transparencia-area-fim.mpce.mp.br/#/consulta/processo/pastadigital/092024000189230","09.2024.00018923-0")</f>
        <v>09.2024.00018923-0</v>
      </c>
      <c r="D625" s="4">
        <v>45867</v>
      </c>
      <c r="E625" s="16" t="str">
        <f>HYPERLINK("https://www8.mpce.mp.br/Empenhos/150001/Objeto/84-2024.pdf","FORNECIMENTO DE ENERGIA ELÉTRICA DE BAIXA TENSÃO AOS DIVERSOS IMÓVEIS QUE SEDIAM AS UNIDADES MINISTERIAIS DESTA PGJ, CONFORME CONTRATO 084/2024, POR ESTIMATIVA E PARA XCONTEMPLA"&amp;"R OS MESES DE JULHO, AGOSTO E SETEMBRO/2025.")</f>
        <v>FORNECIMENTO DE ENERGIA ELÉTRICA DE BAIXA TENSÃO AOS DIVERSOS IMÓVEIS QUE SEDIAM AS UNIDADES MINISTERIAIS DESTA PGJ, CONFORME CONTRATO 084/2024, POR ESTIMATIVA E PARA XCONTEMPLAR OS MESES DE JULHO, AGOSTO E SETEMBRO/2025.</v>
      </c>
      <c r="F625" s="2" t="s">
        <v>309</v>
      </c>
      <c r="G625" s="5" t="str">
        <f>HYPERLINK("https://siafe.sefaz.ce.gov.br/Siafe/downloadSignature?token=37edb5a79cec4d65aa42a83025eb912a","2025NE002065")</f>
        <v>2025NE002065</v>
      </c>
      <c r="H625" s="6">
        <v>300000</v>
      </c>
      <c r="I625" s="7" t="s">
        <v>310</v>
      </c>
      <c r="J625" s="10" t="s">
        <v>311</v>
      </c>
      <c r="K625" t="str">
        <f t="shared" si="1"/>
        <v>2024NE000705</v>
      </c>
      <c r="L625" s="13">
        <v>18529.2</v>
      </c>
      <c r="M625" t="s">
        <v>73</v>
      </c>
      <c r="N625">
        <v>82845322000104</v>
      </c>
    </row>
    <row r="626" spans="1:14" x14ac:dyDescent="0.25">
      <c r="A626" s="12" t="s">
        <v>19</v>
      </c>
      <c r="B626" s="2" t="s">
        <v>403</v>
      </c>
      <c r="C626" s="3" t="str">
        <f>HYPERLINK("https://transparencia-area-fim.mpce.mp.br/#/consulta/processo/pastadigital/092022000110511","09.2022.00011051-1")</f>
        <v>09.2022.00011051-1</v>
      </c>
      <c r="D626" s="4">
        <v>45985</v>
      </c>
      <c r="E626" s="16" t="str">
        <f>HYPERLINK("https://www8.mpce.mp.br/Empenhos/150001/Objeto/38-2022.pdf","EMPENHO REF. IPTU DE IMÓVEL ONDE FUNCIONAM PROMOTORIAS DE JUSTIÇA DA COMARCA DE NOVA OLINDA, CONF. CONTRATO 038/2022, REF. 2025 - PARCELA ÚNICA.")</f>
        <v>EMPENHO REF. IPTU DE IMÓVEL ONDE FUNCIONAM PROMOTORIAS DE JUSTIÇA DA COMARCA DE NOVA OLINDA, CONF. CONTRATO 038/2022, REF. 2025 - PARCELA ÚNICA.</v>
      </c>
      <c r="F626" s="2" t="s">
        <v>361</v>
      </c>
      <c r="G626" s="5" t="str">
        <f>HYPERLINK("https://siafe.sefaz.ce.gov.br/Siafe/downloadSignature?token=006c775312364ba2b4fa4130073dd21e","2025NE002081")</f>
        <v>2025NE002081</v>
      </c>
      <c r="H626" s="6">
        <v>552.14</v>
      </c>
      <c r="I626" s="7" t="s">
        <v>47</v>
      </c>
      <c r="J626" s="10" t="s">
        <v>195</v>
      </c>
      <c r="K626" t="str">
        <f t="shared" si="1"/>
        <v>2024NE000705</v>
      </c>
      <c r="L626" s="13">
        <v>18529.2</v>
      </c>
      <c r="M626" t="s">
        <v>73</v>
      </c>
      <c r="N626">
        <v>82845322000104</v>
      </c>
    </row>
    <row r="627" spans="1:14" x14ac:dyDescent="0.25">
      <c r="A627" s="12" t="s">
        <v>19</v>
      </c>
      <c r="B627" s="2" t="s">
        <v>187</v>
      </c>
      <c r="C627" s="3" t="str">
        <f>HYPERLINK("http://www8.mpce.mp.br/Dispensa/146020136.pdf","1460/2013-6")</f>
        <v>1460/2013-6</v>
      </c>
      <c r="D627" s="4">
        <v>45985</v>
      </c>
      <c r="E627" s="16" t="str">
        <f>HYPERLINK("https://www8.mpce.mp.br/Empenhos/150001/Objeto/39-2013.pdf","EMPENHO REF. IPTU DE IMÓVEL ONDE FUNCIONAM PROMOTORIAS DE JUSTIÇA DA COMARCA DE CASCAVEL, CONF. CONTRATO 039/2013, REF. 2025 - PARCELA ÚNICA.")</f>
        <v>EMPENHO REF. IPTU DE IMÓVEL ONDE FUNCIONAM PROMOTORIAS DE JUSTIÇA DA COMARCA DE CASCAVEL, CONF. CONTRATO 039/2013, REF. 2025 - PARCELA ÚNICA.</v>
      </c>
      <c r="F627" s="2" t="s">
        <v>361</v>
      </c>
      <c r="G627" s="5" t="str">
        <f>HYPERLINK("https://siafe.sefaz.ce.gov.br/Siafe/downloadSignature?token=1ec88060ab614222b6bf38df49918dcf","2025NE002082")</f>
        <v>2025NE002082</v>
      </c>
      <c r="H627" s="6">
        <v>666.68</v>
      </c>
      <c r="I627" s="7" t="s">
        <v>88</v>
      </c>
      <c r="J627" s="10" t="s">
        <v>89</v>
      </c>
      <c r="K627" t="str">
        <f t="shared" si="1"/>
        <v>2024NE000705</v>
      </c>
      <c r="L627" s="13">
        <v>18529.2</v>
      </c>
      <c r="M627" t="s">
        <v>73</v>
      </c>
      <c r="N627">
        <v>82845322000104</v>
      </c>
    </row>
    <row r="628" spans="1:14" x14ac:dyDescent="0.25">
      <c r="A628" s="12" t="s">
        <v>19</v>
      </c>
      <c r="B628" s="2" t="s">
        <v>679</v>
      </c>
      <c r="C628" s="3" t="str">
        <f>HYPERLINK("https://transparencia-area-fim.mpce.mp.br/#/consulta/processo/pastadigital/092021000244449","09.2021.00024444-9")</f>
        <v>09.2021.00024444-9</v>
      </c>
      <c r="D628" s="4">
        <v>45985</v>
      </c>
      <c r="E628" s="16" t="str">
        <f>HYPERLINK("https://www8.mpce.mp.br/Empenhos/150001/Objeto/12-2022.pdf","EMPENHO REF. IPTU DE IMÓVEL ONDE FUNCIONAM PROMOTORIAS DE JUSTIÇA DA COMARCA DE RUSSAS, CONF. CONTRATO 012/2022, REF. 2025 - PARCELA ÚNICA.")</f>
        <v>EMPENHO REF. IPTU DE IMÓVEL ONDE FUNCIONAM PROMOTORIAS DE JUSTIÇA DA COMARCA DE RUSSAS, CONF. CONTRATO 012/2022, REF. 2025 - PARCELA ÚNICA.</v>
      </c>
      <c r="F628" s="2" t="s">
        <v>323</v>
      </c>
      <c r="G628" s="5" t="str">
        <f>HYPERLINK("https://siafe.sefaz.ce.gov.br/Siafe/downloadSignature?token=7fefd10bb14141a7a9b1d477bd1bc151","2025NE002083")</f>
        <v>2025NE002083</v>
      </c>
      <c r="H628" s="6">
        <v>260.27999999999997</v>
      </c>
      <c r="I628" s="7" t="s">
        <v>744</v>
      </c>
      <c r="J628" s="10" t="s">
        <v>745</v>
      </c>
      <c r="K628" t="str">
        <f t="shared" si="1"/>
        <v>2024NE000705</v>
      </c>
      <c r="L628" s="13">
        <v>18529.2</v>
      </c>
      <c r="M628" t="s">
        <v>73</v>
      </c>
      <c r="N628">
        <v>82845322000104</v>
      </c>
    </row>
    <row r="629" spans="1:14" x14ac:dyDescent="0.25">
      <c r="A629" s="12" t="s">
        <v>19</v>
      </c>
      <c r="B629" s="2" t="s">
        <v>187</v>
      </c>
      <c r="C629" s="3" t="str">
        <f>HYPERLINK("https://transparencia-area-fim.mpce.mp.br/#/consulta/processo/pastadigital/092021000121226","09.2021.00012122-6")</f>
        <v>09.2021.00012122-6</v>
      </c>
      <c r="D629" s="4">
        <v>45985</v>
      </c>
      <c r="E629" s="16" t="str">
        <f>HYPERLINK("https://www8.mpce.mp.br/Empenhos/150001/Objeto/34-2021.pdf","EMPENHO REF. REAJUSTE DE  ALUGUEL DE IMÓVEL ONDE FUNCIONAM PROMOTORIAS DE JUSTIÇA DA COMARCA DE SÃO BENEDITO, CONF. CONTRATO 034/2021, REF. SET A DEZ/2025, POR ESTIMATIVA.")</f>
        <v>EMPENHO REF. REAJUSTE DE  ALUGUEL DE IMÓVEL ONDE FUNCIONAM PROMOTORIAS DE JUSTIÇA DA COMARCA DE SÃO BENEDITO, CONF. CONTRATO 034/2021, REF. SET A DEZ/2025, POR ESTIMATIVA.</v>
      </c>
      <c r="F629" s="2" t="s">
        <v>31</v>
      </c>
      <c r="G629" s="5" t="str">
        <f>HYPERLINK("https://siafe.sefaz.ce.gov.br/Siafe/downloadSignature?token=e9c46c6a4f1e4d2e8dacf1717581b283","2025NE002104")</f>
        <v>2025NE002104</v>
      </c>
      <c r="H629" s="6">
        <v>800</v>
      </c>
      <c r="I629" s="7" t="s">
        <v>38</v>
      </c>
      <c r="J629" s="10" t="s">
        <v>176</v>
      </c>
      <c r="K629" t="str">
        <f t="shared" si="1"/>
        <v>2024NE000705</v>
      </c>
      <c r="L629" s="13">
        <v>18529.2</v>
      </c>
      <c r="M629" t="s">
        <v>73</v>
      </c>
      <c r="N629">
        <v>82845322000104</v>
      </c>
    </row>
    <row r="630" spans="1:14" x14ac:dyDescent="0.25">
      <c r="A630" s="12" t="s">
        <v>19</v>
      </c>
      <c r="B630" s="2" t="s">
        <v>187</v>
      </c>
      <c r="C630" s="3" t="str">
        <f>HYPERLINK("https://transparencia-area-fim.mpce.mp.br/#/consulta/processo/pastadigital/092022000276145","09.2022.00027614-5")</f>
        <v>09.2022.00027614-5</v>
      </c>
      <c r="D630" s="4">
        <v>45985</v>
      </c>
      <c r="E630" s="16" t="str">
        <f>HYPERLINK("https://www8.mpce.mp.br/Empenhos/150001/Objeto/36-2022.pdf","EMPENHO REF. REAJUSTES DE ALUGUEIS POR ESTIMATIVA DO  IMÓVEL ONDE FUNCIONAM AS PROMOTORIAS DE JUSTIÇA DA COMARCA DE ARARIPE, CONF. CONTRATO 036/2022, REF. OUT A DEZ/2025, POR ES"&amp;"TIMATIVA.")</f>
        <v>EMPENHO REF. REAJUSTES DE ALUGUEIS POR ESTIMATIVA DO  IMÓVEL ONDE FUNCIONAM AS PROMOTORIAS DE JUSTIÇA DA COMARCA DE ARARIPE, CONF. CONTRATO 036/2022, REF. OUT A DEZ/2025, POR ESTIMATIVA.</v>
      </c>
      <c r="F630" s="2" t="s">
        <v>31</v>
      </c>
      <c r="G630" s="5" t="str">
        <f>HYPERLINK("https://siafe.sefaz.ce.gov.br/Siafe/downloadSignature?token=59ba021d6e4d4dfca6467ebe874324c9","2025NE002105")</f>
        <v>2025NE002105</v>
      </c>
      <c r="H630" s="6">
        <v>450</v>
      </c>
      <c r="I630" s="7" t="s">
        <v>32</v>
      </c>
      <c r="J630" s="10" t="s">
        <v>163</v>
      </c>
      <c r="K630" t="str">
        <f t="shared" si="1"/>
        <v>2024NE000705</v>
      </c>
      <c r="L630" s="13">
        <v>18529.2</v>
      </c>
      <c r="M630" t="s">
        <v>73</v>
      </c>
      <c r="N630">
        <v>82845322000104</v>
      </c>
    </row>
    <row r="631" spans="1:14" x14ac:dyDescent="0.25">
      <c r="A631" s="12" t="s">
        <v>19</v>
      </c>
      <c r="B631" s="2" t="s">
        <v>684</v>
      </c>
      <c r="C631" s="3" t="str">
        <f>HYPERLINK("https://transparencia-area-fim.mpce.mp.br/#/consulta/processo/pastadigital/092022000110511","09.2022.00011051-1")</f>
        <v>09.2022.00011051-1</v>
      </c>
      <c r="D631" s="4">
        <v>45985</v>
      </c>
      <c r="E631" s="16" t="str">
        <f>HYPERLINK("https://www8.mpce.mp.br/Empenhos/150001/Objeto/38-2022.pdf","EMPENHO DOS ALUGUÉIS DOS MESES DE OUTUBRO A DEZEMBRO DE 2025 (PROMOTORIAS DE JUSTIÇA DA COMARCA DE NOVA OLINDA), CONF. CONTRATO Nº 038/2022.")</f>
        <v>EMPENHO DOS ALUGUÉIS DOS MESES DE OUTUBRO A DEZEMBRO DE 2025 (PROMOTORIAS DE JUSTIÇA DA COMARCA DE NOVA OLINDA), CONF. CONTRATO Nº 038/2022.</v>
      </c>
      <c r="F631" s="2" t="s">
        <v>31</v>
      </c>
      <c r="G631" s="5" t="str">
        <f>HYPERLINK("https://siafe.sefaz.ce.gov.br/Siafe/downloadSignature?token=b2043eec55ff413dbdff5a97cf0bb871","2025NE002106")</f>
        <v>2025NE002106</v>
      </c>
      <c r="H631" s="6">
        <v>420</v>
      </c>
      <c r="I631" s="7" t="s">
        <v>47</v>
      </c>
      <c r="J631" s="10" t="s">
        <v>195</v>
      </c>
      <c r="K631" t="str">
        <f t="shared" si="1"/>
        <v>2024NE000705</v>
      </c>
      <c r="L631" s="13">
        <v>18529.2</v>
      </c>
      <c r="M631" t="s">
        <v>73</v>
      </c>
      <c r="N631">
        <v>82845322000104</v>
      </c>
    </row>
    <row r="632" spans="1:14" x14ac:dyDescent="0.25">
      <c r="A632" s="12" t="s">
        <v>159</v>
      </c>
      <c r="B632" s="2" t="s">
        <v>317</v>
      </c>
      <c r="C632" s="3" t="str">
        <f>HYPERLINK("https://transparencia-area-fim.mpce.mp.br/#/consulta/processo/pastadigital/092025000151470","09.2025.00015147-0")</f>
        <v>09.2025.00015147-0</v>
      </c>
      <c r="D632" s="4">
        <v>45868</v>
      </c>
      <c r="E632" s="16" t="s">
        <v>608</v>
      </c>
      <c r="F632" s="2" t="s">
        <v>221</v>
      </c>
      <c r="G632" s="5" t="str">
        <f>HYPERLINK("https://siafe.sefaz.ce.gov.br/Siafe/downloadSignature?token=dd3af68830894cceae702673fe653196","2025NE002106")</f>
        <v>2025NE002106</v>
      </c>
      <c r="H632" s="6">
        <v>7272</v>
      </c>
      <c r="I632" s="7" t="s">
        <v>609</v>
      </c>
      <c r="J632" s="10" t="s">
        <v>610</v>
      </c>
      <c r="K632" t="str">
        <f t="shared" ref="K632:K641" si="2">HYPERLINK("http://www8.mpce.mp.br/Empenhos/150501/NE/2024NE000706.pdf","2024NE000706")</f>
        <v>2024NE000706</v>
      </c>
      <c r="L632" s="13">
        <v>195000</v>
      </c>
      <c r="M632" t="s">
        <v>73</v>
      </c>
      <c r="N632">
        <v>82845322000104</v>
      </c>
    </row>
    <row r="633" spans="1:14" x14ac:dyDescent="0.25">
      <c r="A633" s="12" t="s">
        <v>159</v>
      </c>
      <c r="B633" s="2" t="s">
        <v>317</v>
      </c>
      <c r="C633" s="3" t="str">
        <f>HYPERLINK("https://transparencia-area-fim.mpce.mp.br/#/consulta/processo/pastadigital/092025000150648","09.2025.00015064-8")</f>
        <v>09.2025.00015064-8</v>
      </c>
      <c r="D633" s="4">
        <v>45868</v>
      </c>
      <c r="E633" s="16" t="s">
        <v>611</v>
      </c>
      <c r="F633" s="2" t="s">
        <v>221</v>
      </c>
      <c r="G633" s="5" t="str">
        <f>HYPERLINK("https://siafe.sefaz.ce.gov.br/Siafe/downloadSignature?token=4319a3772b0d446fb5f3f6d5abfa6a86","2025NE002108")</f>
        <v>2025NE002108</v>
      </c>
      <c r="H633" s="6">
        <v>12663</v>
      </c>
      <c r="I633" s="7" t="s">
        <v>609</v>
      </c>
      <c r="J633" s="10" t="s">
        <v>610</v>
      </c>
      <c r="K633" t="str">
        <f t="shared" si="2"/>
        <v>2024NE000706</v>
      </c>
      <c r="L633" s="13">
        <v>195000</v>
      </c>
      <c r="M633" t="s">
        <v>73</v>
      </c>
      <c r="N633">
        <v>82845322000104</v>
      </c>
    </row>
    <row r="634" spans="1:14" x14ac:dyDescent="0.25">
      <c r="A634" s="12" t="s">
        <v>19</v>
      </c>
      <c r="B634" s="2" t="s">
        <v>187</v>
      </c>
      <c r="C634" s="3" t="str">
        <f>HYPERLINK("http://www8.mpce.mp.br/Dispensa/146020136.pdf","1460/2013-6")</f>
        <v>1460/2013-6</v>
      </c>
      <c r="D634" s="4">
        <v>45985</v>
      </c>
      <c r="E634" s="16" t="str">
        <f>HYPERLINK("https://www8.mpce.mp.br/Empenhos/150001/Objeto/39-2013.pdf","EMPENHO REF. REAJUSTES AO EXERCÍCIO DE 2025 ONDE FUNCIONAM PROMOTORIAS DE JUSTIÇA DA COMARCA DE CASCAVEL-CE, CONF. CONTRATO 039/2013, REF. AGO A DEZ/2025, POR ESTIMATIVA.")</f>
        <v>EMPENHO REF. REAJUSTES AO EXERCÍCIO DE 2025 ONDE FUNCIONAM PROMOTORIAS DE JUSTIÇA DA COMARCA DE CASCAVEL-CE, CONF. CONTRATO 039/2013, REF. AGO A DEZ/2025, POR ESTIMATIVA.</v>
      </c>
      <c r="F634" s="2" t="s">
        <v>31</v>
      </c>
      <c r="G634" s="5" t="str">
        <f>HYPERLINK("https://siafe.sefaz.ce.gov.br/Siafe/downloadSignature?token=d961114493ef450fb4c2d77f900cdd60","2025NE002109")</f>
        <v>2025NE002109</v>
      </c>
      <c r="H634" s="6">
        <v>1519.5</v>
      </c>
      <c r="I634" s="7" t="s">
        <v>88</v>
      </c>
      <c r="J634" s="10" t="s">
        <v>89</v>
      </c>
      <c r="K634" t="str">
        <f t="shared" si="2"/>
        <v>2024NE000706</v>
      </c>
      <c r="L634" s="13">
        <v>195000</v>
      </c>
      <c r="M634" t="s">
        <v>73</v>
      </c>
      <c r="N634">
        <v>82845322000104</v>
      </c>
    </row>
    <row r="635" spans="1:14" x14ac:dyDescent="0.25">
      <c r="A635" s="12" t="s">
        <v>159</v>
      </c>
      <c r="B635" s="2" t="s">
        <v>677</v>
      </c>
      <c r="C635" s="3" t="str">
        <f>HYPERLINK("https://transparencia-area-fim.mpce.mp.br/#/consulta/processo/pastadigital/092022000426227","09.2022.00042622-7")</f>
        <v>09.2022.00042622-7</v>
      </c>
      <c r="D635" s="4">
        <v>45986</v>
      </c>
      <c r="E635" s="16" t="str">
        <f>HYPERLINK("https://www8.mpce.mp.br/Empenhos/150001/Objeto/33-2023.pdf","EMPENHO REF. IPTU DE IMÓVEL ONDE FUNCIONAM PROMOTORIAS DE JUSTIÇA DA COMARCA DE JUCÁS, CONF. CONTRATO 033/2023, REF. PARCELA ÚNICA/2025, POR ESTIMATIVA.")</f>
        <v>EMPENHO REF. IPTU DE IMÓVEL ONDE FUNCIONAM PROMOTORIAS DE JUSTIÇA DA COMARCA DE JUCÁS, CONF. CONTRATO 033/2023, REF. PARCELA ÚNICA/2025, POR ESTIMATIVA.</v>
      </c>
      <c r="F635" s="2" t="s">
        <v>361</v>
      </c>
      <c r="G635" s="5" t="str">
        <f>HYPERLINK("https://siafe.sefaz.ce.gov.br/Siafe/downloadSignature?token=e019af1d44bb49e5bcc3c16421858f9b","2025NE002119")</f>
        <v>2025NE002119</v>
      </c>
      <c r="H635" s="6">
        <v>500</v>
      </c>
      <c r="I635" s="7" t="s">
        <v>46</v>
      </c>
      <c r="J635" s="10" t="s">
        <v>194</v>
      </c>
      <c r="K635" t="str">
        <f t="shared" si="2"/>
        <v>2024NE000706</v>
      </c>
      <c r="L635" s="13">
        <v>195000</v>
      </c>
      <c r="M635" t="s">
        <v>73</v>
      </c>
      <c r="N635">
        <v>82845322000104</v>
      </c>
    </row>
    <row r="636" spans="1:14" x14ac:dyDescent="0.25">
      <c r="A636" s="12" t="s">
        <v>19</v>
      </c>
      <c r="B636" s="2" t="s">
        <v>187</v>
      </c>
      <c r="C636" s="3" t="str">
        <f>HYPERLINK("https://transparencia-area-fim.mpce.mp.br/#/consulta/processo/pastadigital/092022000276145","09.2022.00027614-5")</f>
        <v>09.2022.00027614-5</v>
      </c>
      <c r="D636" s="4">
        <v>45986</v>
      </c>
      <c r="E636" s="16" t="str">
        <f>HYPERLINK("https://www8.mpce.mp.br/Empenhos/150001/Objeto/36-2022.pdf","EMPENHO REF. IPTU DE IMÓVEL ONDE FUNCIONAM AS PROMOTORIAS DE JUSTIÇA DA COMARCA DE ARARIPE, CONF. CONTRATO 036/2022, REF. PARCELA ÚNICA/2025, POR ESTIMATIVA.")</f>
        <v>EMPENHO REF. IPTU DE IMÓVEL ONDE FUNCIONAM AS PROMOTORIAS DE JUSTIÇA DA COMARCA DE ARARIPE, CONF. CONTRATO 036/2022, REF. PARCELA ÚNICA/2025, POR ESTIMATIVA.</v>
      </c>
      <c r="F636" s="2" t="s">
        <v>361</v>
      </c>
      <c r="G636" s="5" t="str">
        <f>HYPERLINK("https://siafe.sefaz.ce.gov.br/Siafe/downloadSignature?token=17ec02ad8c6e46c18648795134b515df","2025NE002120")</f>
        <v>2025NE002120</v>
      </c>
      <c r="H636" s="6">
        <v>250</v>
      </c>
      <c r="I636" s="7" t="s">
        <v>32</v>
      </c>
      <c r="J636" s="10" t="s">
        <v>163</v>
      </c>
      <c r="K636" t="str">
        <f t="shared" si="2"/>
        <v>2024NE000706</v>
      </c>
      <c r="L636" s="13">
        <v>195000</v>
      </c>
      <c r="M636" t="s">
        <v>73</v>
      </c>
      <c r="N636">
        <v>82845322000104</v>
      </c>
    </row>
    <row r="637" spans="1:14" x14ac:dyDescent="0.25">
      <c r="A637" s="12" t="s">
        <v>19</v>
      </c>
      <c r="B637" s="2" t="s">
        <v>187</v>
      </c>
      <c r="C637" s="3" t="str">
        <f>HYPERLINK("https://transparencia-area-fim.mpce.mp.br/#/consulta/processo/pastadigital/092022000197876","09.2022.00019787-6")</f>
        <v>09.2022.00019787-6</v>
      </c>
      <c r="D637" s="4">
        <v>45987</v>
      </c>
      <c r="E637" s="16" t="str">
        <f>HYPERLINK("https://www8.mpce.mp.br/Empenhos/150001/Objeto/02-2023.pdf","EMPENHO REF. REAJUSTE DE IMÓVEL ONDE FUNCIONA O NÚCLEO DE MEDIAÇÃO COMUNITÁRIA, CONF. SOLICITAÇÃO DO GESTOR, CONF. CONTRATO 002/2023, REF. 2025, POR ESTIMATIVA.")</f>
        <v>EMPENHO REF. REAJUSTE DE IMÓVEL ONDE FUNCIONA O NÚCLEO DE MEDIAÇÃO COMUNITÁRIA, CONF. SOLICITAÇÃO DO GESTOR, CONF. CONTRATO 002/2023, REF. 2025, POR ESTIMATIVA.</v>
      </c>
      <c r="F637" s="2" t="s">
        <v>130</v>
      </c>
      <c r="G637" s="5" t="str">
        <f>HYPERLINK("https://siafe.sefaz.ce.gov.br/Siafe/downloadSignature?token=da108b95429a4379a7f8f99d0e413753","2025NE002122")</f>
        <v>2025NE002122</v>
      </c>
      <c r="H637" s="6">
        <v>4704</v>
      </c>
      <c r="I637" s="7" t="s">
        <v>28</v>
      </c>
      <c r="J637" s="10" t="s">
        <v>156</v>
      </c>
      <c r="K637" t="str">
        <f t="shared" si="2"/>
        <v>2024NE000706</v>
      </c>
      <c r="L637" s="13">
        <v>195000</v>
      </c>
      <c r="M637" t="s">
        <v>73</v>
      </c>
      <c r="N637">
        <v>82845322000104</v>
      </c>
    </row>
    <row r="638" spans="1:14" x14ac:dyDescent="0.25">
      <c r="A638" s="12" t="s">
        <v>159</v>
      </c>
      <c r="B638" s="2" t="s">
        <v>677</v>
      </c>
      <c r="C638" s="3" t="str">
        <f>HYPERLINK("https://transparencia-area-fim.mpce.mp.br/#/consulta/processo/pastadigital/092022000426227","09.2022.00042622-7")</f>
        <v>09.2022.00042622-7</v>
      </c>
      <c r="D638" s="4">
        <v>45987</v>
      </c>
      <c r="E638" s="16" t="str">
        <f>HYPERLINK("https://www8.mpce.mp.br/Empenhos/150001/Objeto/33-2023.pdf","EMPENHO REF. REAJUSTE DE ALUGUEL DE IMÓVEL ONDE FUNCIONAM PROMOTORIAS DE JUSTIÇA DA COMARCA DE JUCÁS, CONF. SOLICITAÇÃO DO GESTOR, CONF. CONTRATO 033/2023, REF. 2025, POR ESTIMA"&amp;"TIVA.")</f>
        <v>EMPENHO REF. REAJUSTE DE ALUGUEL DE IMÓVEL ONDE FUNCIONAM PROMOTORIAS DE JUSTIÇA DA COMARCA DE JUCÁS, CONF. SOLICITAÇÃO DO GESTOR, CONF. CONTRATO 033/2023, REF. 2025, POR ESTIMATIVA.</v>
      </c>
      <c r="F638" s="2" t="s">
        <v>31</v>
      </c>
      <c r="G638" s="5" t="str">
        <f>HYPERLINK("https://siafe.sefaz.ce.gov.br/Siafe/downloadSignature?token=bb07d616cd60495e8923442b79cef9ef","2025NE002123")</f>
        <v>2025NE002123</v>
      </c>
      <c r="H638" s="6">
        <v>1225</v>
      </c>
      <c r="I638" s="7" t="s">
        <v>46</v>
      </c>
      <c r="J638" s="10" t="s">
        <v>194</v>
      </c>
      <c r="K638" t="str">
        <f t="shared" si="2"/>
        <v>2024NE000706</v>
      </c>
      <c r="L638" s="13">
        <v>195000</v>
      </c>
      <c r="M638" t="s">
        <v>73</v>
      </c>
      <c r="N638">
        <v>82845322000104</v>
      </c>
    </row>
    <row r="639" spans="1:14" x14ac:dyDescent="0.25">
      <c r="A639" s="12" t="s">
        <v>19</v>
      </c>
      <c r="B639" s="2" t="s">
        <v>187</v>
      </c>
      <c r="C639" s="3" t="str">
        <f>HYPERLINK("https://transparencia-area-fim.mpce.mp.br/#/consulta/processo/pastadigital/092023000338552","09.2023.00033855-2")</f>
        <v>09.2023.00033855-2</v>
      </c>
      <c r="D639" s="4">
        <v>45987</v>
      </c>
      <c r="E639" s="16" t="str">
        <f>HYPERLINK("https://www8.mpce.mp.br/Empenhos/150001/Objeto/17-2024.pdf","EMPENHO REF. REAJUSTE DE ALUGUEL DE IMÓVEL ONDE FUNCIONAM PROMOTORIAS DE JUSTIÇA DA COMARCA DE MARANGUAPE, CONF. SOLICITAÇÃO DO GESTOR, CONF. CONTRATO 017/2024, REF. 2025, POR E"&amp;"STIMATIVA.")</f>
        <v>EMPENHO REF. REAJUSTE DE ALUGUEL DE IMÓVEL ONDE FUNCIONAM PROMOTORIAS DE JUSTIÇA DA COMARCA DE MARANGUAPE, CONF. SOLICITAÇÃO DO GESTOR, CONF. CONTRATO 017/2024, REF. 2025, POR ESTIMATIVA.</v>
      </c>
      <c r="F639" s="2" t="s">
        <v>130</v>
      </c>
      <c r="G639" s="5" t="str">
        <f>HYPERLINK("https://siafe.sefaz.ce.gov.br/Siafe/downloadSignature?token=f8804f99ccb14561a97bfc463d7a5c98","2025NE002124")</f>
        <v>2025NE002124</v>
      </c>
      <c r="H639" s="6">
        <v>12600</v>
      </c>
      <c r="I639" s="7" t="s">
        <v>218</v>
      </c>
      <c r="J639" s="10" t="s">
        <v>219</v>
      </c>
      <c r="K639" t="str">
        <f t="shared" si="2"/>
        <v>2024NE000706</v>
      </c>
      <c r="L639" s="13">
        <v>195000</v>
      </c>
      <c r="M639" t="s">
        <v>73</v>
      </c>
      <c r="N639">
        <v>82845322000104</v>
      </c>
    </row>
    <row r="640" spans="1:14" x14ac:dyDescent="0.25">
      <c r="A640" s="12" t="s">
        <v>19</v>
      </c>
      <c r="B640" s="2" t="s">
        <v>187</v>
      </c>
      <c r="C640" s="3" t="str">
        <f>HYPERLINK("https://transparencia-area-fim.mpce.mp.br/#/consulta/processo/pastadigital/092022000343818","09.2022.00034381-8")</f>
        <v>09.2022.00034381-8</v>
      </c>
      <c r="D640" s="4">
        <v>45987</v>
      </c>
      <c r="E640" s="16" t="str">
        <f>HYPERLINK("https://www8.mpce.mp.br/Empenhos/150001/Objeto/24-2023.pdf","EMPENHO REF. REAJUSTE DE ALUGUEL DE IMÓVEL ONDE FUNCIONAM PROMOTORIAS DE JUSTIÇA DA COMARCA DE ITAPIPOCA, CONF. CONTRATO 024/2023, REF. DEZ/2025, POR ESTIMATIVA.")</f>
        <v>EMPENHO REF. REAJUSTE DE ALUGUEL DE IMÓVEL ONDE FUNCIONAM PROMOTORIAS DE JUSTIÇA DA COMARCA DE ITAPIPOCA, CONF. CONTRATO 024/2023, REF. DEZ/2025, POR ESTIMATIVA.</v>
      </c>
      <c r="F640" s="2" t="s">
        <v>130</v>
      </c>
      <c r="G640" s="5" t="str">
        <f>HYPERLINK("https://siafe.sefaz.ce.gov.br/Siafe/downloadSignature?token=89e2541732c44c8cb4e9c4386247de9e","2025NE002125")</f>
        <v>2025NE002125</v>
      </c>
      <c r="H640" s="6">
        <v>1321.4</v>
      </c>
      <c r="I640" s="7" t="s">
        <v>79</v>
      </c>
      <c r="J640" s="10" t="s">
        <v>133</v>
      </c>
      <c r="K640" t="str">
        <f t="shared" si="2"/>
        <v>2024NE000706</v>
      </c>
      <c r="L640" s="13">
        <v>195000</v>
      </c>
      <c r="M640" t="s">
        <v>73</v>
      </c>
      <c r="N640">
        <v>82845322000104</v>
      </c>
    </row>
    <row r="641" spans="1:14" x14ac:dyDescent="0.25">
      <c r="A641" s="12" t="s">
        <v>19</v>
      </c>
      <c r="B641" s="2" t="s">
        <v>187</v>
      </c>
      <c r="C641" s="3" t="str">
        <f>HYPERLINK("https://transparencia-area-fim.mpce.mp.br/#/consulta/processo/pastadigital/092021000244271","09.2021.00024427-1")</f>
        <v>09.2021.00024427-1</v>
      </c>
      <c r="D641" s="4">
        <v>45987</v>
      </c>
      <c r="E641" s="16" t="str">
        <f>HYPERLINK("https://www8.mpce.mp.br/Empenhos/150001/Objeto/17-2022.pdf","EMPENHO REF. REAJUSTE DE ALUGUEL DE IMÓVEL ONDE FUNCIONAM PROMOTORIAS DE JUSTIÇA DA COMARCA DE TIANGUÁ, CONF. CONTRATO 017/2022, REF. MAIO A DEZ/2025, POR ESTIMATIVA.")</f>
        <v>EMPENHO REF. REAJUSTE DE ALUGUEL DE IMÓVEL ONDE FUNCIONAM PROMOTORIAS DE JUSTIÇA DA COMARCA DE TIANGUÁ, CONF. CONTRATO 017/2022, REF. MAIO A DEZ/2025, POR ESTIMATIVA.</v>
      </c>
      <c r="F641" s="2" t="s">
        <v>130</v>
      </c>
      <c r="G641" s="5" t="str">
        <f>HYPERLINK("https://siafe.sefaz.ce.gov.br/Siafe/downloadSignature?token=231371cc63644bbaa14b472b54b586b8","2025NE002128")</f>
        <v>2025NE002128</v>
      </c>
      <c r="H641" s="6">
        <v>14560</v>
      </c>
      <c r="I641" s="7" t="s">
        <v>22</v>
      </c>
      <c r="J641" s="10" t="s">
        <v>142</v>
      </c>
      <c r="K641" t="str">
        <f t="shared" si="2"/>
        <v>2024NE000706</v>
      </c>
      <c r="L641" s="13">
        <v>195000</v>
      </c>
      <c r="M641" t="s">
        <v>73</v>
      </c>
      <c r="N641">
        <v>82845322000104</v>
      </c>
    </row>
    <row r="642" spans="1:14" x14ac:dyDescent="0.25">
      <c r="A642" s="12" t="s">
        <v>19</v>
      </c>
      <c r="B642" s="2" t="s">
        <v>515</v>
      </c>
      <c r="C642" s="3" t="str">
        <f>HYPERLINK("https://transparencia-area-fim.mpce.mp.br/#/consulta/processo/pastadigital/092021000047808","09.2021.00004780-8")</f>
        <v>09.2021.00004780-8</v>
      </c>
      <c r="D642" s="4">
        <v>45987</v>
      </c>
      <c r="E642" s="17" t="str">
        <f>HYPERLINK("https://www8.mpce.mp.br/Empenhos/150001/Objeto/25-2021.pdf","EMPENHO REF. REAJUSTE DE ALUGUEL DE IMÓVEL ONDE FUNCIONAM AS PROMOTORIAS DE JUSTIÇA DA COMARCA DE ALTO SANTO, CONF. CONTRATO 025/2021, REF. JUL A DEZ/2025, POR ESTIMATIVA.")</f>
        <v>EMPENHO REF. REAJUSTE DE ALUGUEL DE IMÓVEL ONDE FUNCIONAM AS PROMOTORIAS DE JUSTIÇA DA COMARCA DE ALTO SANTO, CONF. CONTRATO 025/2021, REF. JUL A DEZ/2025, POR ESTIMATIVA.</v>
      </c>
      <c r="F642" s="2" t="s">
        <v>31</v>
      </c>
      <c r="G642" s="5" t="str">
        <f>HYPERLINK("https://siafe.sefaz.ce.gov.br/Siafe/downloadSignature?token=bb68b405558f432583cdf516541c7f7a","2025NE002129")</f>
        <v>2025NE002129</v>
      </c>
      <c r="H642" s="6">
        <v>693.48</v>
      </c>
      <c r="I642" s="7" t="s">
        <v>735</v>
      </c>
      <c r="J642" s="10" t="s">
        <v>736</v>
      </c>
      <c r="K642" t="str">
        <f t="shared" ref="K642:K651" si="3">HYPERLINK("http://www8.mpce.mp.br/Empenhos/150501/NE/2024NE000707.pdf","2024NE000707")</f>
        <v>2024NE000707</v>
      </c>
      <c r="L642" s="13">
        <v>97142.66</v>
      </c>
      <c r="M642" t="s">
        <v>73</v>
      </c>
      <c r="N642">
        <v>82845322000104</v>
      </c>
    </row>
    <row r="643" spans="1:14" x14ac:dyDescent="0.25">
      <c r="A643" s="12" t="s">
        <v>19</v>
      </c>
      <c r="B643" s="2" t="s">
        <v>187</v>
      </c>
      <c r="C643" s="3" t="str">
        <f>HYPERLINK("https://transparencia-area-fim.mpce.mp.br/#/consulta/processo/pastadigital/092021000155016","09.2021.00015501-6")</f>
        <v>09.2021.00015501-6</v>
      </c>
      <c r="D643" s="4">
        <v>45987</v>
      </c>
      <c r="E643" s="16" t="str">
        <f>HYPERLINK("https://www8.mpce.mp.br/Empenhos/150001/Objeto/26-2021.pdf","EMPENHO REF. REAJUSTE DO ALUGUEL DE IMÓVEL ONDE FUNCIONAM PROMOTORIAS DE JUSTIÇA DA COMARCA DE BREJO SANTO, CONF. CONTRATO 026/2021, REF. JUL A DEZ/2025, POR ESTIMATIVA.")</f>
        <v>EMPENHO REF. REAJUSTE DO ALUGUEL DE IMÓVEL ONDE FUNCIONAM PROMOTORIAS DE JUSTIÇA DA COMARCA DE BREJO SANTO, CONF. CONTRATO 026/2021, REF. JUL A DEZ/2025, POR ESTIMATIVA.</v>
      </c>
      <c r="F643" s="2" t="s">
        <v>31</v>
      </c>
      <c r="G643" s="5" t="str">
        <f>HYPERLINK("https://siafe.sefaz.ce.gov.br/Siafe/downloadSignature?token=2a55099023d44c3bbf16322dcf555a97","2025NE002133")</f>
        <v>2025NE002133</v>
      </c>
      <c r="H643" s="6">
        <v>1092.6600000000001</v>
      </c>
      <c r="I643" s="7" t="s">
        <v>39</v>
      </c>
      <c r="J643" s="10" t="s">
        <v>178</v>
      </c>
      <c r="K643" t="str">
        <f t="shared" si="3"/>
        <v>2024NE000707</v>
      </c>
      <c r="L643" s="13">
        <v>97142.66</v>
      </c>
      <c r="M643" t="s">
        <v>73</v>
      </c>
      <c r="N643">
        <v>82845322000104</v>
      </c>
    </row>
    <row r="644" spans="1:14" x14ac:dyDescent="0.25">
      <c r="A644" s="12" t="s">
        <v>159</v>
      </c>
      <c r="B644" s="2" t="s">
        <v>253</v>
      </c>
      <c r="C644" s="3" t="str">
        <f>HYPERLINK("https://transparencia-area-fim.mpce.mp.br/#/consulta/processo/pastadigital/092025000203896","09.2025.00020389-6")</f>
        <v>09.2025.00020389-6</v>
      </c>
      <c r="D644" s="4">
        <v>45873</v>
      </c>
      <c r="E644" s="16" t="s">
        <v>620</v>
      </c>
      <c r="F644" s="2" t="s">
        <v>255</v>
      </c>
      <c r="G644" s="5" t="str">
        <f>HYPERLINK("https://siafe.sefaz.ce.gov.br/Siafe/downloadSignature?token=1cc0a9c62da447539f52a6341ac5ef7e","2025NE002137")</f>
        <v>2025NE002137</v>
      </c>
      <c r="H644" s="6">
        <v>81.03</v>
      </c>
      <c r="I644" s="7" t="s">
        <v>621</v>
      </c>
      <c r="J644" s="10" t="s">
        <v>622</v>
      </c>
      <c r="K644" t="str">
        <f t="shared" si="3"/>
        <v>2024NE000707</v>
      </c>
      <c r="L644" s="13">
        <v>97142.66</v>
      </c>
      <c r="M644" t="s">
        <v>73</v>
      </c>
      <c r="N644">
        <v>82845322000104</v>
      </c>
    </row>
    <row r="645" spans="1:14" x14ac:dyDescent="0.25">
      <c r="A645" s="12" t="s">
        <v>19</v>
      </c>
      <c r="B645" s="2" t="s">
        <v>187</v>
      </c>
      <c r="C645" s="3" t="str">
        <f>HYPERLINK("https://transparencia-area-fim.mpce.mp.br/#/consulta/processo/pastadigital/092022000343795","09.2022.00034379-5")</f>
        <v>09.2022.00034379-5</v>
      </c>
      <c r="D645" s="4">
        <v>45987</v>
      </c>
      <c r="E645" s="16" t="str">
        <f>HYPERLINK("https://www8.mpce.mp.br/Empenhos/150001/Objeto/25-2023.pdf","EMPENHO REF. REAJUSTE DO ALUGUEL DE IMÓVEL ONDE FUNCIONAM PROMOTORIAS DE JUSTIÇA DA COMARCA DE CANINDÉ, CONF. CONTRATO 025/2023, REF. NOV E DEZ/2025, POR ESTIMATIVA.")</f>
        <v>EMPENHO REF. REAJUSTE DO ALUGUEL DE IMÓVEL ONDE FUNCIONAM PROMOTORIAS DE JUSTIÇA DA COMARCA DE CANINDÉ, CONF. CONTRATO 025/2023, REF. NOV E DEZ/2025, POR ESTIMATIVA.</v>
      </c>
      <c r="F645" s="2" t="s">
        <v>130</v>
      </c>
      <c r="G645" s="5" t="str">
        <f>HYPERLINK("https://siafe.sefaz.ce.gov.br/Siafe/downloadSignature?token=88a31c281a6e4ad988fb6f58aa562903","2025NE002137")</f>
        <v>2025NE002137</v>
      </c>
      <c r="H645" s="6">
        <v>2053.52</v>
      </c>
      <c r="I645" s="7" t="s">
        <v>101</v>
      </c>
      <c r="J645" s="10" t="s">
        <v>131</v>
      </c>
      <c r="K645" t="str">
        <f t="shared" si="3"/>
        <v>2024NE000707</v>
      </c>
      <c r="L645" s="13">
        <v>97142.66</v>
      </c>
      <c r="M645" t="s">
        <v>73</v>
      </c>
      <c r="N645">
        <v>82845322000104</v>
      </c>
    </row>
    <row r="646" spans="1:14" x14ac:dyDescent="0.25">
      <c r="A646" s="12" t="s">
        <v>159</v>
      </c>
      <c r="B646" s="2" t="s">
        <v>466</v>
      </c>
      <c r="C646" s="3" t="str">
        <f>HYPERLINK("https://transparencia-area-fim.mpce.mp.br/#/consulta/processo/pastadigital/09220250001824007","092.2025.000182400-7")</f>
        <v>092.2025.000182400-7</v>
      </c>
      <c r="D646" s="4">
        <v>45873</v>
      </c>
      <c r="E646" s="16" t="s">
        <v>623</v>
      </c>
      <c r="F646" s="2" t="s">
        <v>221</v>
      </c>
      <c r="G646" s="5" t="str">
        <f>HYPERLINK("https://siafe.sefaz.ce.gov.br/Siafe/downloadSignature?token=e0f9c69448ae4b74940751e17d1464a4","2025NE002138")</f>
        <v>2025NE002138</v>
      </c>
      <c r="H646" s="6">
        <v>2400</v>
      </c>
      <c r="I646" s="7" t="s">
        <v>624</v>
      </c>
      <c r="J646" s="10" t="s">
        <v>625</v>
      </c>
      <c r="K646" t="str">
        <f t="shared" si="3"/>
        <v>2024NE000707</v>
      </c>
      <c r="L646" s="13">
        <v>97142.66</v>
      </c>
      <c r="M646" t="s">
        <v>73</v>
      </c>
      <c r="N646">
        <v>82845322000104</v>
      </c>
    </row>
    <row r="647" spans="1:14" x14ac:dyDescent="0.25">
      <c r="A647" s="12" t="s">
        <v>19</v>
      </c>
      <c r="B647" s="2" t="s">
        <v>187</v>
      </c>
      <c r="C647" s="3" t="str">
        <f>HYPERLINK("https://transparencia-area-fim.mpce.mp.br/#/consulta/processo/pastadigital/092022000343840","09.2022.00034384-0")</f>
        <v>09.2022.00034384-0</v>
      </c>
      <c r="D647" s="4">
        <v>45987</v>
      </c>
      <c r="E647" s="16" t="str">
        <f>HYPERLINK("https://www8.mpce.mp.br/Empenhos/150001/Objeto/11-2023.pdf","EMPENHO REF. RETROATIVOS DO ALUGUEL DE IMÓVEL ONDE FUNCIONAM PROMOTORIAS DE JUSTIÇA DA COMARCA DE SANTA QUITÉRIA, CONF. CONTRATO 011/2023, REF. MAR E SET/2025, POR ESTIMATIVA.")</f>
        <v>EMPENHO REF. RETROATIVOS DO ALUGUEL DE IMÓVEL ONDE FUNCIONAM PROMOTORIAS DE JUSTIÇA DA COMARCA DE SANTA QUITÉRIA, CONF. CONTRATO 011/2023, REF. MAR E SET/2025, POR ESTIMATIVA.</v>
      </c>
      <c r="F647" s="2" t="s">
        <v>130</v>
      </c>
      <c r="G647" s="5" t="str">
        <f>HYPERLINK("https://siafe.sefaz.ce.gov.br/Siafe/downloadSignature?token=254317de60c247c48eb825691e4ab31e","2025NE002140")</f>
        <v>2025NE002140</v>
      </c>
      <c r="H647" s="6">
        <v>4628.6899999999996</v>
      </c>
      <c r="I647" s="7" t="s">
        <v>55</v>
      </c>
      <c r="J647" s="10" t="s">
        <v>232</v>
      </c>
      <c r="K647" t="str">
        <f t="shared" si="3"/>
        <v>2024NE000707</v>
      </c>
      <c r="L647" s="13">
        <v>97142.66</v>
      </c>
      <c r="M647" t="s">
        <v>73</v>
      </c>
      <c r="N647">
        <v>82845322000104</v>
      </c>
    </row>
    <row r="648" spans="1:14" x14ac:dyDescent="0.25">
      <c r="A648" s="12" t="s">
        <v>19</v>
      </c>
      <c r="B648" s="2" t="s">
        <v>210</v>
      </c>
      <c r="C648" s="3" t="str">
        <f>HYPERLINK("http://www8.mpce.mp.br/Dispensa/3072520194.pdf","30725/2019-4")</f>
        <v>30725/2019-4</v>
      </c>
      <c r="D648" s="4">
        <v>45988</v>
      </c>
      <c r="E648" s="16" t="str">
        <f>HYPERLINK("https://www8.mpce.mp.br/Empenhos/150001/Objeto/06-2020.pdf","EMPENHO REF. SERVIÇOS DE NUVEM E TRANSPORTE DE DADOS POR MEIO DO CINTURÃO DIGITAL DO CEARÁ (CDC), CONF. CONTRATO 006/2020, REF. FEV A DEZ/2025, POR ESTIMATIVA.")</f>
        <v>EMPENHO REF. SERVIÇOS DE NUVEM E TRANSPORTE DE DADOS POR MEIO DO CINTURÃO DIGITAL DO CEARÁ (CDC), CONF. CONTRATO 006/2020, REF. FEV A DEZ/2025, POR ESTIMATIVA.</v>
      </c>
      <c r="F648" s="2" t="s">
        <v>211</v>
      </c>
      <c r="G648" s="5" t="str">
        <f>HYPERLINK("https://siafe.sefaz.ce.gov.br/Siafe/downloadSignature?token=0019ec19462640d1b204cf26043dd0d2","2025NE002145")</f>
        <v>2025NE002145</v>
      </c>
      <c r="H648" s="6">
        <v>17916.03</v>
      </c>
      <c r="I648" s="7" t="s">
        <v>51</v>
      </c>
      <c r="J648" s="10" t="s">
        <v>212</v>
      </c>
      <c r="K648" t="str">
        <f t="shared" si="3"/>
        <v>2024NE000707</v>
      </c>
      <c r="L648" s="13">
        <v>97142.66</v>
      </c>
      <c r="M648" t="s">
        <v>73</v>
      </c>
      <c r="N648">
        <v>82845322000104</v>
      </c>
    </row>
    <row r="649" spans="1:14" x14ac:dyDescent="0.25">
      <c r="A649" s="12" t="s">
        <v>19</v>
      </c>
      <c r="B649" s="2" t="s">
        <v>243</v>
      </c>
      <c r="C649" s="3" t="str">
        <f>HYPERLINK("https://transparencia-area-fim.mpce.mp.br/#/consulta/processo/pastadigital/092024000176845","09.2024.00017684-5")</f>
        <v>09.2024.00017684-5</v>
      </c>
      <c r="D649" s="4">
        <v>45988</v>
      </c>
      <c r="E649" s="16" t="str">
        <f>HYPERLINK("https://www8.mpce.mp.br/Empenhos/150001/Objeto/58-2024.pdf","EMPENHO REF. SERVIÇOS ESPECIALIZADOS EM SEGURANÇA (ANTIVÍRUS), CONF. 1º TERMO DE APOSTILAMENTO AO CONTRATO 058/2024, REF. REAJUSTE RETROATIVO DE AGO, SET E OUT/2025.")</f>
        <v>EMPENHO REF. SERVIÇOS ESPECIALIZADOS EM SEGURANÇA (ANTIVÍRUS), CONF. 1º TERMO DE APOSTILAMENTO AO CONTRATO 058/2024, REF. REAJUSTE RETROATIVO DE AGO, SET E OUT/2025.</v>
      </c>
      <c r="F649" s="2" t="s">
        <v>211</v>
      </c>
      <c r="G649" s="5" t="str">
        <f>HYPERLINK("https://siafe.sefaz.ce.gov.br/Siafe/downloadSignature?token=f844ba6e6114465a90806616e519e51d","2025NE002149")</f>
        <v>2025NE002149</v>
      </c>
      <c r="H649" s="6">
        <v>17031.3</v>
      </c>
      <c r="I649" s="7" t="s">
        <v>51</v>
      </c>
      <c r="J649" s="10" t="s">
        <v>212</v>
      </c>
      <c r="K649" t="str">
        <f t="shared" si="3"/>
        <v>2024NE000707</v>
      </c>
      <c r="L649" s="13">
        <v>97142.66</v>
      </c>
      <c r="M649" t="s">
        <v>73</v>
      </c>
      <c r="N649">
        <v>82845322000104</v>
      </c>
    </row>
    <row r="650" spans="1:14" x14ac:dyDescent="0.25">
      <c r="A650" s="12" t="s">
        <v>19</v>
      </c>
      <c r="B650" s="2" t="s">
        <v>187</v>
      </c>
      <c r="C650" s="3" t="str">
        <f>HYPERLINK("https://transparencia-area-fim.mpce.mp.br/#/consulta/processo/pastadigital/092021000079244","09.2021.00007924-4")</f>
        <v>09.2021.00007924-4</v>
      </c>
      <c r="D650" s="4">
        <v>45988</v>
      </c>
      <c r="E650" s="16" t="str">
        <f>HYPERLINK("https://www8.mpce.mp.br/Empenhos/150001/Objeto/27-2021.pdf","EMPENHO REF. IPTU DE IMÓVEL ONDE FUNCIONAM PROMOTORIAS DE JUSTIÇA DA COMARCA DE EUSÉBIO, CONF. CONTRATO 027/2021, REF. 2025 - PARCELAS 07 E 08.")</f>
        <v>EMPENHO REF. IPTU DE IMÓVEL ONDE FUNCIONAM PROMOTORIAS DE JUSTIÇA DA COMARCA DE EUSÉBIO, CONF. CONTRATO 027/2021, REF. 2025 - PARCELAS 07 E 08.</v>
      </c>
      <c r="F650" s="2" t="s">
        <v>323</v>
      </c>
      <c r="G650" s="5" t="str">
        <f>HYPERLINK("https://siafe.sefaz.ce.gov.br/Siafe/downloadSignature?token=b695cf9c296f4104bbee1222be3ab154","2025NE002163")</f>
        <v>2025NE002163</v>
      </c>
      <c r="H650" s="6">
        <v>1188.6300000000001</v>
      </c>
      <c r="I650" s="7" t="s">
        <v>43</v>
      </c>
      <c r="J650" s="10" t="s">
        <v>186</v>
      </c>
      <c r="K650" t="str">
        <f t="shared" si="3"/>
        <v>2024NE000707</v>
      </c>
      <c r="L650" s="13">
        <v>97142.66</v>
      </c>
      <c r="M650" t="s">
        <v>73</v>
      </c>
      <c r="N650">
        <v>82845322000104</v>
      </c>
    </row>
    <row r="651" spans="1:14" x14ac:dyDescent="0.25">
      <c r="A651" s="12" t="s">
        <v>19</v>
      </c>
      <c r="B651" s="2" t="s">
        <v>187</v>
      </c>
      <c r="C651" s="3" t="str">
        <f>HYPERLINK("https://transparencia-area-fim.mpce.mp.br/#/consulta/processo/pastadigital/092021000219739","09.2021.00021973-9")</f>
        <v>09.2021.00021973-9</v>
      </c>
      <c r="D651" s="4">
        <v>45988</v>
      </c>
      <c r="E651" s="16" t="str">
        <f>HYPERLINK("https://www8.mpce.mp.br/Empenhos/150001/Objeto/45-2021.pdf","EMPENHO REF. IPTU DE IMÓVEL ONDE FUNCIONAM PROMOTORIAS DE JUSTIÇA DA COMARCA DE EUSÉBIO, CONF. CONTRATO 045/2021, REF. 2025 - PARCELAS 07 E 08.")</f>
        <v>EMPENHO REF. IPTU DE IMÓVEL ONDE FUNCIONAM PROMOTORIAS DE JUSTIÇA DA COMARCA DE EUSÉBIO, CONF. CONTRATO 045/2021, REF. 2025 - PARCELAS 07 E 08.</v>
      </c>
      <c r="F651" s="2" t="s">
        <v>323</v>
      </c>
      <c r="G651" s="5" t="str">
        <f>HYPERLINK("https://siafe.sefaz.ce.gov.br/Siafe/downloadSignature?token=91b6f21966ac4b5b9efd5b5d2240c0be","2025NE002164")</f>
        <v>2025NE002164</v>
      </c>
      <c r="H651" s="6">
        <v>396.21</v>
      </c>
      <c r="I651" s="7" t="s">
        <v>43</v>
      </c>
      <c r="J651" s="10" t="s">
        <v>186</v>
      </c>
      <c r="K651" t="str">
        <f t="shared" si="3"/>
        <v>2024NE000707</v>
      </c>
      <c r="L651" s="13">
        <v>97142.66</v>
      </c>
      <c r="M651" t="s">
        <v>73</v>
      </c>
      <c r="N651">
        <v>82845322000104</v>
      </c>
    </row>
    <row r="652" spans="1:14" x14ac:dyDescent="0.25">
      <c r="A652" s="12" t="s">
        <v>159</v>
      </c>
      <c r="B652" s="2" t="s">
        <v>683</v>
      </c>
      <c r="C652" s="3" t="str">
        <f>HYPERLINK("https://transparencia-area-fim.mpce.mp.br/#/consulta/processo/pastadigital/092022000409094","09.2022.00040909-4")</f>
        <v>09.2022.00040909-4</v>
      </c>
      <c r="D652" s="4">
        <v>45989</v>
      </c>
      <c r="E652" s="16" t="str">
        <f>HYPERLINK("https://www8.mpce.mp.br/Empenhos/150001/Objeto/41-2023.pdf","EMPENHO REF. REAJUSTE DE LOCAÇÃO DE IMÓVEL ONDE FUNCIONAM AS PROMOTORIAS DE JUSTIÇA DA COMARCA DE GUARACIABA DO NORTE-CE, POR ESTIMATIVA E REF. AOS MESES DE AGOSTO A DEZEMBRO DE"&amp;" 2025.")</f>
        <v>EMPENHO REF. REAJUSTE DE LOCAÇÃO DE IMÓVEL ONDE FUNCIONAM AS PROMOTORIAS DE JUSTIÇA DA COMARCA DE GUARACIABA DO NORTE-CE, POR ESTIMATIVA E REF. AOS MESES DE AGOSTO A DEZEMBRO DE 2025.</v>
      </c>
      <c r="F652" s="2" t="s">
        <v>31</v>
      </c>
      <c r="G652" s="5" t="str">
        <f>HYPERLINK("https://siafe.sefaz.ce.gov.br/Siafe/downloadSignature?token=15df6490d6d840d18abc1a577b41ac6f","2025NE002169")</f>
        <v>2025NE002169</v>
      </c>
      <c r="H652" s="6">
        <v>850</v>
      </c>
      <c r="I652" s="7" t="s">
        <v>45</v>
      </c>
      <c r="J652" s="10" t="s">
        <v>193</v>
      </c>
      <c r="K652" t="str">
        <f t="shared" ref="K652:K661" si="4">HYPERLINK("http://www8.mpce.mp.br/Empenhos/150501/NE/2024NE000708.pdf","2024NE000708")</f>
        <v>2024NE000708</v>
      </c>
      <c r="L652" s="13">
        <v>228249.60000000001</v>
      </c>
      <c r="M652" t="s">
        <v>73</v>
      </c>
      <c r="N652">
        <v>82845322000104</v>
      </c>
    </row>
    <row r="653" spans="1:14" x14ac:dyDescent="0.25">
      <c r="A653" s="12" t="s">
        <v>159</v>
      </c>
      <c r="B653" s="2" t="s">
        <v>677</v>
      </c>
      <c r="C653" s="3" t="str">
        <f>HYPERLINK("https://transparencia-area-fim.mpce.mp.br/#/consulta/processo/pastadigital/092022000371847","09.2022.00037184-7")</f>
        <v>09.2022.00037184-7</v>
      </c>
      <c r="D653" s="4">
        <v>45989</v>
      </c>
      <c r="E653" s="16" t="str">
        <f>HYPERLINK("https://www8.mpce.mp.br/Empenhos/150001/Objeto/44-2023.pdf","EMPENHO REF. REAJUSTE DE ALUGUEL DE IMÓVEL ONDE FUNCIONAM PROMOTORIAS DE JUSTIÇA DA COMARCA DE MARCO, CONF. CONTRATO 033/2022, REF. AGO A DEZ/2025, POR ESTIMATIVA.")</f>
        <v>EMPENHO REF. REAJUSTE DE ALUGUEL DE IMÓVEL ONDE FUNCIONAM PROMOTORIAS DE JUSTIÇA DA COMARCA DE MARCO, CONF. CONTRATO 033/2022, REF. AGO A DEZ/2025, POR ESTIMATIVA.</v>
      </c>
      <c r="F653" s="2" t="s">
        <v>31</v>
      </c>
      <c r="G653" s="5" t="str">
        <f>HYPERLINK("https://siafe.sefaz.ce.gov.br/Siafe/downloadSignature?token=2bb00d7522f64e2184171dd17b440ee5","2025NE002170")</f>
        <v>2025NE002170</v>
      </c>
      <c r="H653" s="6">
        <v>425</v>
      </c>
      <c r="I653" s="7" t="s">
        <v>44</v>
      </c>
      <c r="J653" s="10" t="s">
        <v>192</v>
      </c>
      <c r="K653" t="str">
        <f t="shared" si="4"/>
        <v>2024NE000708</v>
      </c>
      <c r="L653" s="13">
        <v>228249.60000000001</v>
      </c>
      <c r="M653" t="s">
        <v>73</v>
      </c>
      <c r="N653">
        <v>82845322000104</v>
      </c>
    </row>
    <row r="654" spans="1:14" x14ac:dyDescent="0.25">
      <c r="A654" s="12" t="s">
        <v>159</v>
      </c>
      <c r="B654" s="2" t="s">
        <v>317</v>
      </c>
      <c r="C654" s="3" t="str">
        <f>HYPERLINK("https://transparencia-area-fim.mpce.mp.br/#/consulta/processo/pastadigital/092025000145734","09.2025.00014573-4")</f>
        <v>09.2025.00014573-4</v>
      </c>
      <c r="D654" s="4">
        <v>45881</v>
      </c>
      <c r="E654" s="16" t="s">
        <v>626</v>
      </c>
      <c r="F654" s="2" t="s">
        <v>221</v>
      </c>
      <c r="G654" s="5" t="str">
        <f>HYPERLINK("https://siafe.sefaz.ce.gov.br/Siafe/downloadSignature?token=7e8b2fd0a91f4a6d956916f6f0b6578b","2025NE002251")</f>
        <v>2025NE002251</v>
      </c>
      <c r="H654" s="6">
        <v>7380</v>
      </c>
      <c r="I654" s="7" t="s">
        <v>627</v>
      </c>
      <c r="J654" s="10" t="s">
        <v>628</v>
      </c>
      <c r="K654" t="str">
        <f t="shared" si="4"/>
        <v>2024NE000708</v>
      </c>
      <c r="L654" s="13">
        <v>228249.60000000001</v>
      </c>
      <c r="M654" t="s">
        <v>73</v>
      </c>
      <c r="N654">
        <v>82845322000104</v>
      </c>
    </row>
    <row r="655" spans="1:14" x14ac:dyDescent="0.25">
      <c r="A655" s="12" t="s">
        <v>159</v>
      </c>
      <c r="B655" s="2" t="s">
        <v>317</v>
      </c>
      <c r="C655" s="3" t="str">
        <f>HYPERLINK("https://transparencia-area-fim.mpce.mp.br/#/consulta/processo/pastadigital/092025000051361","09.2025.00005136-1")</f>
        <v>09.2025.00005136-1</v>
      </c>
      <c r="D655" s="4">
        <v>45883</v>
      </c>
      <c r="E655" s="16" t="s">
        <v>629</v>
      </c>
      <c r="F655" s="2" t="s">
        <v>221</v>
      </c>
      <c r="G655" s="5" t="str">
        <f>HYPERLINK("https://siafe.sefaz.ce.gov.br/Siafe/downloadSignature?token=97bce0bfd4e347c3bed39091971d39b1","2025NE002278")</f>
        <v>2025NE002278</v>
      </c>
      <c r="H655" s="6">
        <v>30050.1</v>
      </c>
      <c r="I655" s="7" t="s">
        <v>470</v>
      </c>
      <c r="J655" s="10" t="s">
        <v>471</v>
      </c>
      <c r="K655" t="str">
        <f t="shared" si="4"/>
        <v>2024NE000708</v>
      </c>
      <c r="L655" s="13">
        <v>228249.60000000001</v>
      </c>
      <c r="M655" t="s">
        <v>73</v>
      </c>
      <c r="N655">
        <v>82845322000104</v>
      </c>
    </row>
    <row r="656" spans="1:14" x14ac:dyDescent="0.25">
      <c r="A656" s="12" t="s">
        <v>19</v>
      </c>
      <c r="B656" s="2" t="s">
        <v>630</v>
      </c>
      <c r="C656" s="3" t="str">
        <f>HYPERLINK("https://transparencia-area-fim.mpce.mp.br/#/consulta/processo/pastadigital/092023000064260","09.2023.00006426-0")</f>
        <v>09.2023.00006426-0</v>
      </c>
      <c r="D656" s="4">
        <v>45887</v>
      </c>
      <c r="E656" s="16" t="str">
        <f>HYPERLINK("https://www8.mpce.mp.br/Empenhos/150001/Objeto/86-2024.pdf","SUPORTE TÉCNICO PARA OPERAÇÃO ASSISTIDA, DESENVOLVIMENTO DE SERVIÇOS DE INTEGRAÇÃO DE SISTEMAS, BASE DE DADOS E SOLUÇÕES TECNOLOGICAS EXISTENTES, DESENVOLVIMENTO DE CAMADA DE IN"&amp;"TEROPERABILIDADE, FERRAMENTA DE ACESSO UNICO, IMPLANTAÇÃO DE NOVAS SOLUÇÕES, CONFORME CONTRATO 086/2024 E PARA ATENDER AO CONVÊNIO 937138/2022 DEPEN-MJSP- PLATAFORMA  + BRASIL.")</f>
        <v>SUPORTE TÉCNICO PARA OPERAÇÃO ASSISTIDA, DESENVOLVIMENTO DE SERVIÇOS DE INTEGRAÇÃO DE SISTEMAS, BASE DE DADOS E SOLUÇÕES TECNOLOGICAS EXISTENTES, DESENVOLVIMENTO DE CAMADA DE INTEROPERABILIDADE, FERRAMENTA DE ACESSO UNICO, IMPLANTAÇÃO DE NOVAS SOLUÇÕES, CONFORME CONTRATO 086/2024 E PARA ATENDER AO CONVÊNIO 937138/2022 DEPEN-MJSP- PLATAFORMA  + BRASIL.</v>
      </c>
      <c r="F656" s="2" t="s">
        <v>231</v>
      </c>
      <c r="G656" s="5" t="str">
        <f>HYPERLINK("https://siafe.sefaz.ce.gov.br/Siafe/downloadSignature?token=fff94999195e459db2a33972e6d38eaf","2025NE002282")</f>
        <v>2025NE002282</v>
      </c>
      <c r="H656" s="6">
        <v>8473.5</v>
      </c>
      <c r="I656" s="7" t="s">
        <v>51</v>
      </c>
      <c r="J656" s="10" t="s">
        <v>212</v>
      </c>
      <c r="K656" t="str">
        <f t="shared" si="4"/>
        <v>2024NE000708</v>
      </c>
      <c r="L656" s="13">
        <v>228249.60000000001</v>
      </c>
      <c r="M656" t="s">
        <v>73</v>
      </c>
      <c r="N656">
        <v>82845322000104</v>
      </c>
    </row>
    <row r="657" spans="1:14" x14ac:dyDescent="0.25">
      <c r="A657" s="12" t="s">
        <v>159</v>
      </c>
      <c r="B657" s="2" t="s">
        <v>317</v>
      </c>
      <c r="C657" s="3" t="str">
        <f>HYPERLINK("https://transparencia-area-fim.mpce.mp.br/#/consulta/processo/pastadigital/092025000149285","09.2025.00014928-5")</f>
        <v>09.2025.00014928-5</v>
      </c>
      <c r="D657" s="4">
        <v>45887</v>
      </c>
      <c r="E657" s="16" t="s">
        <v>631</v>
      </c>
      <c r="F657" s="2" t="s">
        <v>221</v>
      </c>
      <c r="G657" s="5" t="str">
        <f>HYPERLINK("https://siafe.sefaz.ce.gov.br/Siafe/downloadSignature?token=5d5e22152ee04808914eed7eb6f0a92c","2025NE002290")</f>
        <v>2025NE002290</v>
      </c>
      <c r="H657" s="6">
        <v>2496</v>
      </c>
      <c r="I657" s="7" t="s">
        <v>632</v>
      </c>
      <c r="J657" s="10" t="s">
        <v>633</v>
      </c>
      <c r="K657" t="str">
        <f t="shared" si="4"/>
        <v>2024NE000708</v>
      </c>
      <c r="L657" s="13">
        <v>228249.60000000001</v>
      </c>
      <c r="M657" t="s">
        <v>73</v>
      </c>
      <c r="N657">
        <v>82845322000104</v>
      </c>
    </row>
    <row r="658" spans="1:14" x14ac:dyDescent="0.25">
      <c r="A658" s="12" t="s">
        <v>159</v>
      </c>
      <c r="B658" s="2" t="s">
        <v>317</v>
      </c>
      <c r="C658" s="3" t="str">
        <f>HYPERLINK("https://transparencia-area-fim.mpce.mp.br/#/consulta/processo/pastadigital/092025000179902","09.2025.00017990-2")</f>
        <v>09.2025.00017990-2</v>
      </c>
      <c r="D658" s="4">
        <v>45887</v>
      </c>
      <c r="E658" s="16" t="s">
        <v>634</v>
      </c>
      <c r="F658" s="2" t="s">
        <v>221</v>
      </c>
      <c r="G658" s="5" t="str">
        <f>HYPERLINK("https://siafe.sefaz.ce.gov.br/Siafe/downloadSignature?token=aaf445727343410bae5aff2c829ce641","2025NE002291")</f>
        <v>2025NE002291</v>
      </c>
      <c r="H658" s="6">
        <v>1798</v>
      </c>
      <c r="I658" s="7" t="s">
        <v>609</v>
      </c>
      <c r="J658" s="10" t="s">
        <v>610</v>
      </c>
      <c r="K658" t="str">
        <f t="shared" si="4"/>
        <v>2024NE000708</v>
      </c>
      <c r="L658" s="13">
        <v>228249.60000000001</v>
      </c>
      <c r="M658" t="s">
        <v>73</v>
      </c>
      <c r="N658">
        <v>82845322000104</v>
      </c>
    </row>
    <row r="659" spans="1:14" x14ac:dyDescent="0.25">
      <c r="A659" s="12" t="s">
        <v>159</v>
      </c>
      <c r="B659" s="2" t="s">
        <v>317</v>
      </c>
      <c r="C659" s="3" t="str">
        <f>HYPERLINK("https://transparencia-area-fim.mpce.mp.br/#/consulta/processo/pastadigital/092025000159261","09.2025.00015926-1")</f>
        <v>09.2025.00015926-1</v>
      </c>
      <c r="D659" s="4">
        <v>45896</v>
      </c>
      <c r="E659" s="16" t="s">
        <v>635</v>
      </c>
      <c r="F659" s="2" t="s">
        <v>221</v>
      </c>
      <c r="G659" s="5" t="str">
        <f>HYPERLINK("https://siafe.sefaz.ce.gov.br/Siafe/downloadSignature?token=d5d18a07bd63422fadb85b48633f373d","2025NE002398")</f>
        <v>2025NE002398</v>
      </c>
      <c r="H659" s="6">
        <v>4690</v>
      </c>
      <c r="I659" s="7" t="s">
        <v>609</v>
      </c>
      <c r="J659" s="10" t="s">
        <v>610</v>
      </c>
      <c r="K659" t="str">
        <f t="shared" si="4"/>
        <v>2024NE000708</v>
      </c>
      <c r="L659" s="13">
        <v>228249.60000000001</v>
      </c>
      <c r="M659" t="s">
        <v>73</v>
      </c>
      <c r="N659">
        <v>82845322000104</v>
      </c>
    </row>
    <row r="660" spans="1:14" x14ac:dyDescent="0.25">
      <c r="A660" s="12" t="s">
        <v>159</v>
      </c>
      <c r="B660" s="2" t="s">
        <v>466</v>
      </c>
      <c r="C660" s="3" t="str">
        <f>HYPERLINK("https://transparencia-area-fim.mpce.mp.br/#/consulta/processo/pastadigital/092023000041044","09.2023.00004104-4")</f>
        <v>09.2023.00004104-4</v>
      </c>
      <c r="D660" s="4">
        <v>45901</v>
      </c>
      <c r="E660" s="16" t="str">
        <f>HYPERLINK("https://www8.mpce.mp.br/Empenhos/150001/Objeto/39-2023.pdf","	PARCELA DE CURSO DE ESPECIALIZAÇÃO ME OPERAÇÕES TRIBUTÁRIAS, FORMATO EAD P/ MEMBROS E SERVIDORES DO GAESF(GRUPO DE ATUAÇÃO ESPECIAL DE COMBATE A SONEGAÇÃO FISCAL) DO MP E DEMAI"&amp;"S PROMOTORIAS CONFORME CONTRATO 039/2023 E REFERE-SE A PARCELAS DE JANEIRO A DEZEMBRO DE 2024.REFERE-SE AO CONVÊNIO 93690322 CELEBRADO ENTRE MJ/FDD E O MPCE.")</f>
        <v xml:space="preserve">	PARCELA DE CURSO DE ESPECIALIZAÇÃO ME OPERAÇÕES TRIBUTÁRIAS, FORMATO EAD P/ MEMBROS E SERVIDORES DO GAESF(GRUPO DE ATUAÇÃO ESPECIAL DE COMBATE A SONEGAÇÃO FISCAL) DO MP E DEMAIS PROMOTORIAS CONFORME CONTRATO 039/2023 E REFERE-SE A PARCELAS DE JANEIRO A DEZEMBRO DE 2024.REFERE-SE AO CONVÊNIO 93690322 CELEBRADO ENTRE MJ/FDD E O MPCE.</v>
      </c>
      <c r="F660" s="2" t="s">
        <v>221</v>
      </c>
      <c r="G660" s="5" t="str">
        <f>HYPERLINK("https://siafe.sefaz.ce.gov.br/Siafe/downloadSignature?token=0df2c245c92b4b18a0c10f68c39ff8ac","2025NE002455")</f>
        <v>2025NE002455</v>
      </c>
      <c r="H660" s="6">
        <v>12000</v>
      </c>
      <c r="I660" s="7" t="s">
        <v>636</v>
      </c>
      <c r="J660" s="10" t="s">
        <v>637</v>
      </c>
      <c r="K660" t="str">
        <f t="shared" si="4"/>
        <v>2024NE000708</v>
      </c>
      <c r="L660" s="13">
        <v>228249.60000000001</v>
      </c>
      <c r="M660" t="s">
        <v>73</v>
      </c>
      <c r="N660">
        <v>82845322000104</v>
      </c>
    </row>
    <row r="661" spans="1:14" x14ac:dyDescent="0.25">
      <c r="A661" s="12" t="s">
        <v>19</v>
      </c>
      <c r="B661" s="2" t="s">
        <v>586</v>
      </c>
      <c r="C661" s="3" t="str">
        <f>HYPERLINK("https://transparencia-area-fim.mpce.mp.br/#/consulta/processo/pastadigital/092025000249216","09.2025.00024921-6")</f>
        <v>09.2025.00024921-6</v>
      </c>
      <c r="D661" s="4">
        <v>45902</v>
      </c>
      <c r="E661" s="16" t="s">
        <v>638</v>
      </c>
      <c r="F661" s="2" t="s">
        <v>639</v>
      </c>
      <c r="G661" s="5" t="str">
        <f>HYPERLINK("https://siafe.sefaz.ce.gov.br/Siafe/downloadSignature?token=b40899724f5443a4a4ab9ac2f2dc27cb","2025NE002466")</f>
        <v>2025NE002466</v>
      </c>
      <c r="H661" s="6">
        <v>7435</v>
      </c>
      <c r="I661" s="7" t="s">
        <v>640</v>
      </c>
      <c r="J661" s="10" t="s">
        <v>641</v>
      </c>
      <c r="K661" t="str">
        <f t="shared" si="4"/>
        <v>2024NE000708</v>
      </c>
      <c r="L661" s="13">
        <v>228249.60000000001</v>
      </c>
      <c r="M661" t="s">
        <v>73</v>
      </c>
      <c r="N661">
        <v>82845322000104</v>
      </c>
    </row>
    <row r="662" spans="1:14" x14ac:dyDescent="0.25">
      <c r="A662" s="12" t="s">
        <v>159</v>
      </c>
      <c r="B662" s="2" t="s">
        <v>317</v>
      </c>
      <c r="C662" s="3" t="str">
        <f>HYPERLINK("https://transparencia-area-fim.mpce.mp.br/#/consulta/processo/pastadigital/092025000216569","09.2025.00021656-9")</f>
        <v>09.2025.00021656-9</v>
      </c>
      <c r="D662" s="4">
        <v>45903</v>
      </c>
      <c r="E662" s="16" t="s">
        <v>685</v>
      </c>
      <c r="F662" s="2" t="s">
        <v>221</v>
      </c>
      <c r="G662" s="5" t="str">
        <f>HYPERLINK("https://siafe.sefaz.ce.gov.br/Siafe/downloadSignature?token=ca98d377eb584ac3833a936649514e02","2025NE002467")</f>
        <v>2025NE002467</v>
      </c>
      <c r="H662" s="6">
        <v>1944</v>
      </c>
      <c r="I662" s="7" t="s">
        <v>686</v>
      </c>
      <c r="J662" s="10" t="s">
        <v>687</v>
      </c>
      <c r="K662" t="str">
        <f t="shared" ref="K662:K671" si="5">HYPERLINK("http://www8.mpce.mp.br/Empenhos/150501/NE/2024NE000709.pdf","2024NE000709")</f>
        <v>2024NE000709</v>
      </c>
      <c r="L662" s="13">
        <v>204570.66</v>
      </c>
      <c r="M662" t="s">
        <v>73</v>
      </c>
      <c r="N662">
        <v>82845322000104</v>
      </c>
    </row>
    <row r="663" spans="1:14" x14ac:dyDescent="0.25">
      <c r="A663" s="12" t="s">
        <v>159</v>
      </c>
      <c r="B663" s="2" t="s">
        <v>317</v>
      </c>
      <c r="C663" s="3" t="str">
        <f>HYPERLINK("https://transparencia-area-fim.mpce.mp.br/#/consulta/processo/pastadigital/092025000230816","09.2025.00023081-6")</f>
        <v>09.2025.00023081-6</v>
      </c>
      <c r="D663" s="4">
        <v>45903</v>
      </c>
      <c r="E663" s="16" t="s">
        <v>688</v>
      </c>
      <c r="F663" s="2" t="s">
        <v>221</v>
      </c>
      <c r="G663" s="5" t="str">
        <f>HYPERLINK("https://siafe.sefaz.ce.gov.br/Siafe/downloadSignature?token=928179a5af314359a2b4acba29fedf63","2025NE002504")</f>
        <v>2025NE002504</v>
      </c>
      <c r="H663" s="6">
        <v>6694</v>
      </c>
      <c r="I663" s="7" t="s">
        <v>689</v>
      </c>
      <c r="J663" s="10" t="s">
        <v>690</v>
      </c>
      <c r="K663" t="str">
        <f t="shared" si="5"/>
        <v>2024NE000709</v>
      </c>
      <c r="L663" s="13">
        <v>204570.66</v>
      </c>
      <c r="M663" t="s">
        <v>73</v>
      </c>
      <c r="N663">
        <v>82845322000104</v>
      </c>
    </row>
    <row r="664" spans="1:14" x14ac:dyDescent="0.25">
      <c r="A664" s="12" t="s">
        <v>159</v>
      </c>
      <c r="B664" s="2" t="s">
        <v>317</v>
      </c>
      <c r="C664" s="3" t="str">
        <f>HYPERLINK("https://transparencia-area-fim.mpce.mp.br/#/consulta/processo/pastadigital/092025000233568","09.2025.00023356-8")</f>
        <v>09.2025.00023356-8</v>
      </c>
      <c r="D664" s="4">
        <v>45905</v>
      </c>
      <c r="E664" s="16" t="s">
        <v>691</v>
      </c>
      <c r="F664" s="2" t="s">
        <v>221</v>
      </c>
      <c r="G664" s="5" t="str">
        <f>HYPERLINK("https://siafe.sefaz.ce.gov.br/Siafe/downloadSignature?token=aea4dbc8635948289a2b50f69860a981","2025NE002505")</f>
        <v>2025NE002505</v>
      </c>
      <c r="H664" s="6">
        <v>4690</v>
      </c>
      <c r="I664" s="7" t="s">
        <v>609</v>
      </c>
      <c r="J664" s="10" t="s">
        <v>610</v>
      </c>
      <c r="K664" t="str">
        <f t="shared" si="5"/>
        <v>2024NE000709</v>
      </c>
      <c r="L664" s="13">
        <v>204570.66</v>
      </c>
      <c r="M664" t="s">
        <v>73</v>
      </c>
      <c r="N664">
        <v>82845322000104</v>
      </c>
    </row>
    <row r="665" spans="1:14" x14ac:dyDescent="0.25">
      <c r="A665" s="12" t="s">
        <v>159</v>
      </c>
      <c r="B665" s="2" t="s">
        <v>317</v>
      </c>
      <c r="C665" s="3" t="str">
        <f>HYPERLINK("https://transparencia-area-fim.mpce.mp.br/#/consulta/processo/pastadigital/092025000195257","09.2025.00019525-7")</f>
        <v>09.2025.00019525-7</v>
      </c>
      <c r="D665" s="4">
        <v>45910</v>
      </c>
      <c r="E665" s="16" t="s">
        <v>692</v>
      </c>
      <c r="F665" s="2" t="s">
        <v>221</v>
      </c>
      <c r="G665" s="5" t="str">
        <f>HYPERLINK("https://siafe.sefaz.ce.gov.br/Siafe/downloadSignature?token=48d0d429afab4e0b8958774cbaf4e5bc","2025NE002506")</f>
        <v>2025NE002506</v>
      </c>
      <c r="H665" s="6">
        <v>4800</v>
      </c>
      <c r="I665" s="7" t="s">
        <v>693</v>
      </c>
      <c r="J665" s="10" t="s">
        <v>694</v>
      </c>
      <c r="K665" t="str">
        <f t="shared" si="5"/>
        <v>2024NE000709</v>
      </c>
      <c r="L665" s="13">
        <v>204570.66</v>
      </c>
      <c r="M665" t="s">
        <v>73</v>
      </c>
      <c r="N665">
        <v>82845322000104</v>
      </c>
    </row>
    <row r="666" spans="1:14" x14ac:dyDescent="0.25">
      <c r="A666" s="12" t="s">
        <v>159</v>
      </c>
      <c r="B666" s="2" t="s">
        <v>317</v>
      </c>
      <c r="C666" s="3" t="str">
        <f>HYPERLINK("https://transparencia-area-fim.mpce.mp.br/#/consulta/processo/pastadigital/092025000147265","09.2025.00014726-5")</f>
        <v>09.2025.00014726-5</v>
      </c>
      <c r="D666" s="4">
        <v>45905</v>
      </c>
      <c r="E666" s="16" t="str">
        <f>HYPERLINK("https://www8.mpce.mp.br/Empenhos/150001/Objeto/35-2025.pdf","EMPENHO REF. TREINAMENTO IN COMPANY PROGRAMA DESENVOLVIMENTO DE LÍDERES - MEMBROS, DATADOS PARA OS DIAS 08 E 22/09, 06 E 20/10, 03 E 17/11, NA SEDE DA PGJ NO CAMBEBA, E DIAS 01 "&amp;"E 02/12, NO PARQUE APOENA, PACATUBA-CE, CONF. CONTRATO 035/2025, POR ESTIMATIVA.")</f>
        <v>EMPENHO REF. TREINAMENTO IN COMPANY PROGRAMA DESENVOLVIMENTO DE LÍDERES - MEMBROS, DATADOS PARA OS DIAS 08 E 22/09, 06 E 20/10, 03 E 17/11, NA SEDE DA PGJ NO CAMBEBA, E DIAS 01 E 02/12, NO PARQUE APOENA, PACATUBA-CE, CONF. CONTRATO 035/2025, POR ESTIMATIVA.</v>
      </c>
      <c r="F666" s="2" t="s">
        <v>221</v>
      </c>
      <c r="G666" s="5" t="str">
        <f>HYPERLINK("https://siafe.sefaz.ce.gov.br/Siafe/downloadSignature?token=d3056cd896404f018d46f6e822cbacb4","2025NE002543")</f>
        <v>2025NE002543</v>
      </c>
      <c r="H666" s="6">
        <v>138133.34</v>
      </c>
      <c r="I666" s="7" t="s">
        <v>110</v>
      </c>
      <c r="J666" s="10" t="s">
        <v>695</v>
      </c>
      <c r="K666" t="str">
        <f t="shared" si="5"/>
        <v>2024NE000709</v>
      </c>
      <c r="L666" s="13">
        <v>204570.66</v>
      </c>
      <c r="M666" t="s">
        <v>73</v>
      </c>
      <c r="N666">
        <v>82845322000104</v>
      </c>
    </row>
    <row r="667" spans="1:14" x14ac:dyDescent="0.25">
      <c r="A667" s="12" t="s">
        <v>159</v>
      </c>
      <c r="B667" s="2" t="s">
        <v>317</v>
      </c>
      <c r="C667" s="3" t="str">
        <f>HYPERLINK("https://transparencia-area-fim.mpce.mp.br/#/consulta/processo/pastadigital/092025000232447","09.2025.00023244-7")</f>
        <v>09.2025.00023244-7</v>
      </c>
      <c r="D667" s="4">
        <v>45905</v>
      </c>
      <c r="E667" s="16" t="s">
        <v>696</v>
      </c>
      <c r="F667" s="2" t="s">
        <v>221</v>
      </c>
      <c r="G667" s="5" t="str">
        <f>HYPERLINK("https://siafe.sefaz.ce.gov.br/Siafe/downloadSignature?token=cb3e93fcf9044f08962a9da5ed50c216","2025NE002547")</f>
        <v>2025NE002547</v>
      </c>
      <c r="H667" s="6">
        <v>2940</v>
      </c>
      <c r="I667" s="7" t="s">
        <v>697</v>
      </c>
      <c r="J667" s="10" t="s">
        <v>698</v>
      </c>
      <c r="K667" t="str">
        <f t="shared" si="5"/>
        <v>2024NE000709</v>
      </c>
      <c r="L667" s="13">
        <v>204570.66</v>
      </c>
      <c r="M667" t="s">
        <v>73</v>
      </c>
      <c r="N667">
        <v>82845322000104</v>
      </c>
    </row>
    <row r="668" spans="1:14" x14ac:dyDescent="0.25">
      <c r="A668" s="12" t="s">
        <v>159</v>
      </c>
      <c r="B668" s="2" t="s">
        <v>317</v>
      </c>
      <c r="C668" s="3" t="str">
        <f>HYPERLINK("https://transparencia-area-fim.mpce.mp.br/#/consulta/processo/pastadigital/092025000230582","09.2025.00023058-2")</f>
        <v>09.2025.00023058-2</v>
      </c>
      <c r="D668" s="4">
        <v>45908</v>
      </c>
      <c r="E668" s="16" t="s">
        <v>699</v>
      </c>
      <c r="F668" s="2" t="s">
        <v>221</v>
      </c>
      <c r="G668" s="5" t="str">
        <f>HYPERLINK("https://siafe.sefaz.ce.gov.br/Siafe/downloadSignature?token=62a7dd977ada43948fafd4c978a47405","2025NE002557")</f>
        <v>2025NE002557</v>
      </c>
      <c r="H668" s="6">
        <v>6694</v>
      </c>
      <c r="I668" s="7" t="s">
        <v>689</v>
      </c>
      <c r="J668" s="10" t="s">
        <v>690</v>
      </c>
      <c r="K668" t="str">
        <f t="shared" si="5"/>
        <v>2024NE000709</v>
      </c>
      <c r="L668" s="13">
        <v>204570.66</v>
      </c>
      <c r="M668" t="s">
        <v>73</v>
      </c>
      <c r="N668">
        <v>82845322000104</v>
      </c>
    </row>
    <row r="669" spans="1:14" x14ac:dyDescent="0.25">
      <c r="A669" s="12" t="s">
        <v>159</v>
      </c>
      <c r="B669" s="2" t="s">
        <v>317</v>
      </c>
      <c r="C669" s="3" t="str">
        <f>HYPERLINK("https://transparencia-area-fim.mpce.mp.br/#/consulta/processo/pastadigital/092025000187846","09.2025.00018784-6")</f>
        <v>09.2025.00018784-6</v>
      </c>
      <c r="D669" s="4">
        <v>45909</v>
      </c>
      <c r="E669" s="16" t="s">
        <v>700</v>
      </c>
      <c r="F669" s="2" t="s">
        <v>221</v>
      </c>
      <c r="G669" s="5" t="str">
        <f>HYPERLINK("https://siafe.sefaz.ce.gov.br/Siafe/downloadSignature?token=4266e2738d554543936dc59c40673552","2025NE002570")</f>
        <v>2025NE002570</v>
      </c>
      <c r="H669" s="6">
        <v>10000</v>
      </c>
      <c r="I669" s="7" t="s">
        <v>701</v>
      </c>
      <c r="J669" s="10" t="s">
        <v>702</v>
      </c>
      <c r="K669" t="str">
        <f t="shared" si="5"/>
        <v>2024NE000709</v>
      </c>
      <c r="L669" s="13">
        <v>204570.66</v>
      </c>
      <c r="M669" t="s">
        <v>73</v>
      </c>
      <c r="N669">
        <v>82845322000104</v>
      </c>
    </row>
    <row r="670" spans="1:14" x14ac:dyDescent="0.25">
      <c r="A670" s="12" t="s">
        <v>19</v>
      </c>
      <c r="B670" s="2" t="s">
        <v>586</v>
      </c>
      <c r="C670" s="3" t="str">
        <f>HYPERLINK("https://transparencia-area-fim.mpce.mp.br/#/consulta/processo/pastadigital/092025000244365","09.2025.00024436-5")</f>
        <v>09.2025.00024436-5</v>
      </c>
      <c r="D670" s="4">
        <v>45909</v>
      </c>
      <c r="E670" s="16" t="s">
        <v>703</v>
      </c>
      <c r="F670" s="2" t="s">
        <v>704</v>
      </c>
      <c r="G670" s="5" t="str">
        <f>HYPERLINK("https://siafe.sefaz.ce.gov.br/Siafe/downloadSignature?token=d1ec47d60fed4c6e99f9eb184866e659","2025NE002578")</f>
        <v>2025NE002578</v>
      </c>
      <c r="H670" s="6">
        <v>13910</v>
      </c>
      <c r="I670" s="7" t="s">
        <v>705</v>
      </c>
      <c r="J670" s="10" t="s">
        <v>706</v>
      </c>
      <c r="K670" t="str">
        <f t="shared" si="5"/>
        <v>2024NE000709</v>
      </c>
      <c r="L670" s="13">
        <v>204570.66</v>
      </c>
      <c r="M670" t="s">
        <v>73</v>
      </c>
      <c r="N670">
        <v>82845322000104</v>
      </c>
    </row>
    <row r="671" spans="1:14" x14ac:dyDescent="0.25">
      <c r="A671" s="12" t="s">
        <v>159</v>
      </c>
      <c r="B671" s="2" t="s">
        <v>317</v>
      </c>
      <c r="C671" s="3" t="str">
        <f>HYPERLINK("https://transparencia-area-fim.mpce.mp.br/#/consulta/processo/pastadigital/092025000233735","09.2025.00023373-5")</f>
        <v>09.2025.00023373-5</v>
      </c>
      <c r="D671" s="4">
        <v>45910</v>
      </c>
      <c r="E671" s="16" t="s">
        <v>707</v>
      </c>
      <c r="F671" s="2" t="s">
        <v>221</v>
      </c>
      <c r="G671" s="5" t="str">
        <f>HYPERLINK("https://siafe.sefaz.ce.gov.br/Siafe/downloadSignature?token=b83a2c094b9c48bcbbe1014b1da5c548","2025NE002591")</f>
        <v>2025NE002591</v>
      </c>
      <c r="H671" s="6">
        <v>4900</v>
      </c>
      <c r="I671" s="7" t="s">
        <v>708</v>
      </c>
      <c r="J671" s="10" t="s">
        <v>709</v>
      </c>
      <c r="K671" t="str">
        <f t="shared" si="5"/>
        <v>2024NE000709</v>
      </c>
      <c r="L671" s="13">
        <v>204570.66</v>
      </c>
      <c r="M671" t="s">
        <v>73</v>
      </c>
      <c r="N671">
        <v>82845322000104</v>
      </c>
    </row>
    <row r="672" spans="1:14" x14ac:dyDescent="0.25">
      <c r="A672" s="12" t="s">
        <v>159</v>
      </c>
      <c r="B672" s="2" t="s">
        <v>317</v>
      </c>
      <c r="C672" s="3" t="str">
        <f>HYPERLINK("https://transparencia-area-fim.mpce.mp.br/#/consulta/processo/pastadigital/092025000230727","09.2025.00023072-7")</f>
        <v>09.2025.00023072-7</v>
      </c>
      <c r="D672" s="4">
        <v>45912</v>
      </c>
      <c r="E672" s="16" t="s">
        <v>710</v>
      </c>
      <c r="F672" s="2" t="s">
        <v>221</v>
      </c>
      <c r="G672" s="5" t="str">
        <f>HYPERLINK("https://siafe.sefaz.ce.gov.br/Siafe/downloadSignature?token=d4c21876c54c4c1187bf2dc127251feb","2025NE002617")</f>
        <v>2025NE002617</v>
      </c>
      <c r="H672" s="6">
        <v>12000</v>
      </c>
      <c r="I672" s="7" t="s">
        <v>711</v>
      </c>
      <c r="J672" s="10" t="s">
        <v>712</v>
      </c>
      <c r="K672" t="str">
        <f t="shared" ref="K672:K681" si="6">HYPERLINK("http://www8.mpce.mp.br/Empenhos/150501/NE/2024NE000710.pdf","2024NE000710")</f>
        <v>2024NE000710</v>
      </c>
      <c r="L672" s="13">
        <v>110144</v>
      </c>
      <c r="M672" t="s">
        <v>73</v>
      </c>
      <c r="N672">
        <v>82845322000104</v>
      </c>
    </row>
    <row r="673" spans="1:14" x14ac:dyDescent="0.25">
      <c r="A673" s="12" t="s">
        <v>159</v>
      </c>
      <c r="B673" s="2" t="s">
        <v>317</v>
      </c>
      <c r="C673" s="3" t="str">
        <f>HYPERLINK("https://transparencia-area-fim.mpce.mp.br/#/consulta/processo/pastadigital/092025000235322","09.2025.00023532-2")</f>
        <v>09.2025.00023532-2</v>
      </c>
      <c r="D673" s="4">
        <v>45912</v>
      </c>
      <c r="E673" s="16" t="s">
        <v>713</v>
      </c>
      <c r="F673" s="2" t="s">
        <v>221</v>
      </c>
      <c r="G673" s="5" t="str">
        <f>HYPERLINK("https://siafe.sefaz.ce.gov.br/Siafe/downloadSignature?token=fbb56bec6d0543a5860f2963f0c253b3","2025NE002623")</f>
        <v>2025NE002623</v>
      </c>
      <c r="H673" s="6">
        <v>10950</v>
      </c>
      <c r="I673" s="7" t="s">
        <v>609</v>
      </c>
      <c r="J673" s="10" t="s">
        <v>610</v>
      </c>
      <c r="K673" t="str">
        <f t="shared" si="6"/>
        <v>2024NE000710</v>
      </c>
      <c r="L673" s="13">
        <v>110144</v>
      </c>
      <c r="M673" t="s">
        <v>73</v>
      </c>
      <c r="N673">
        <v>82845322000104</v>
      </c>
    </row>
    <row r="674" spans="1:14" x14ac:dyDescent="0.25">
      <c r="A674" s="12" t="s">
        <v>159</v>
      </c>
      <c r="B674" s="2" t="s">
        <v>317</v>
      </c>
      <c r="C674" s="3" t="str">
        <f>HYPERLINK("https://transparencia-area-fim.mpce.mp.br/#/consulta/processo/pastadigital/092025000227000","09.2025.00022700-0")</f>
        <v>09.2025.00022700-0</v>
      </c>
      <c r="D674" s="4">
        <v>45912</v>
      </c>
      <c r="E674" s="16" t="s">
        <v>714</v>
      </c>
      <c r="F674" s="2" t="s">
        <v>221</v>
      </c>
      <c r="G674" s="5" t="str">
        <f>HYPERLINK("https://siafe.sefaz.ce.gov.br/Siafe/downloadSignature?token=69ab22093be94e468aaaf8e08608f9f5","2025NE002626")</f>
        <v>2025NE002626</v>
      </c>
      <c r="H674" s="6">
        <v>750</v>
      </c>
      <c r="I674" s="7" t="s">
        <v>609</v>
      </c>
      <c r="J674" s="10" t="s">
        <v>610</v>
      </c>
      <c r="K674" t="str">
        <f t="shared" si="6"/>
        <v>2024NE000710</v>
      </c>
      <c r="L674" s="13">
        <v>110144</v>
      </c>
      <c r="M674" t="s">
        <v>73</v>
      </c>
      <c r="N674">
        <v>82845322000104</v>
      </c>
    </row>
    <row r="675" spans="1:14" x14ac:dyDescent="0.25">
      <c r="A675" s="12" t="s">
        <v>159</v>
      </c>
      <c r="B675" s="2" t="s">
        <v>715</v>
      </c>
      <c r="C675" s="3" t="str">
        <f>HYPERLINK("https://transparencia-area-fim.mpce.mp.br/#/consulta/processo/pastadigital/092025000241102","09.2025.00024110-2")</f>
        <v>09.2025.00024110-2</v>
      </c>
      <c r="D675" s="4">
        <v>45912</v>
      </c>
      <c r="E675" s="16" t="s">
        <v>716</v>
      </c>
      <c r="F675" s="2" t="s">
        <v>221</v>
      </c>
      <c r="G675" s="5" t="str">
        <f>HYPERLINK("https://siafe.sefaz.ce.gov.br/Siafe/downloadSignature?token=fb057087be4f4983bf0dc882ec3e7d1e","2025NE002632")</f>
        <v>2025NE002632</v>
      </c>
      <c r="H675" s="6">
        <v>11070</v>
      </c>
      <c r="I675" s="7" t="s">
        <v>717</v>
      </c>
      <c r="J675" s="10" t="s">
        <v>718</v>
      </c>
      <c r="K675" t="str">
        <f t="shared" si="6"/>
        <v>2024NE000710</v>
      </c>
      <c r="L675" s="13">
        <v>110144</v>
      </c>
      <c r="M675" t="s">
        <v>73</v>
      </c>
      <c r="N675">
        <v>82845322000104</v>
      </c>
    </row>
    <row r="676" spans="1:14" x14ac:dyDescent="0.25">
      <c r="A676" s="12" t="s">
        <v>159</v>
      </c>
      <c r="B676" s="2" t="s">
        <v>317</v>
      </c>
      <c r="C676" s="3" t="str">
        <f>HYPERLINK("https://transparencia-area-fim.mpce.mp.br/#/consulta/processo/pastadigital/092025000234567","09.2025.00023456-7")</f>
        <v>09.2025.00023456-7</v>
      </c>
      <c r="D676" s="4">
        <v>45915</v>
      </c>
      <c r="E676" s="16" t="s">
        <v>719</v>
      </c>
      <c r="F676" s="2" t="s">
        <v>221</v>
      </c>
      <c r="G676" s="5" t="str">
        <f>HYPERLINK("https://siafe.sefaz.ce.gov.br/Siafe/downloadSignature?token=63da623a0ef64512bc4449e1e97e96fa","2025NE002645")</f>
        <v>2025NE002645</v>
      </c>
      <c r="H676" s="6">
        <v>10302</v>
      </c>
      <c r="I676" s="7" t="s">
        <v>609</v>
      </c>
      <c r="J676" s="10" t="s">
        <v>610</v>
      </c>
      <c r="K676" t="str">
        <f t="shared" si="6"/>
        <v>2024NE000710</v>
      </c>
      <c r="L676" s="13">
        <v>110144</v>
      </c>
      <c r="M676" t="s">
        <v>73</v>
      </c>
      <c r="N676">
        <v>82845322000104</v>
      </c>
    </row>
    <row r="677" spans="1:14" x14ac:dyDescent="0.25">
      <c r="A677" s="12" t="s">
        <v>19</v>
      </c>
      <c r="B677" s="2" t="s">
        <v>586</v>
      </c>
      <c r="C677" s="3" t="str">
        <f>HYPERLINK("https://transparencia-area-fim.mpce.mp.br/#/consulta/processo/pastadigital/092025000272772","09.2025.00027277-2")</f>
        <v>09.2025.00027277-2</v>
      </c>
      <c r="D677" s="4">
        <v>45917</v>
      </c>
      <c r="E677" s="16" t="s">
        <v>720</v>
      </c>
      <c r="F677" s="2" t="s">
        <v>721</v>
      </c>
      <c r="G677" s="5" t="str">
        <f>HYPERLINK("https://siafe.sefaz.ce.gov.br/Siafe/downloadSignature?token=638f157e003c4413889621137f30c975","2025NE002689")</f>
        <v>2025NE002689</v>
      </c>
      <c r="H677" s="6">
        <v>7134.4</v>
      </c>
      <c r="I677" s="7" t="s">
        <v>722</v>
      </c>
      <c r="J677" s="10" t="s">
        <v>723</v>
      </c>
      <c r="K677" t="str">
        <f t="shared" si="6"/>
        <v>2024NE000710</v>
      </c>
      <c r="L677" s="13">
        <v>110144</v>
      </c>
      <c r="M677" t="s">
        <v>73</v>
      </c>
      <c r="N677">
        <v>82845322000104</v>
      </c>
    </row>
    <row r="678" spans="1:14" x14ac:dyDescent="0.25">
      <c r="A678" s="12" t="s">
        <v>159</v>
      </c>
      <c r="B678" s="2" t="s">
        <v>253</v>
      </c>
      <c r="C678" s="3" t="str">
        <f>HYPERLINK("https://transparencia-area-fim.mpce.mp.br/#/consulta/processo/pastadigital/092025000282570","09.2025.00028257-0")</f>
        <v>09.2025.00028257-0</v>
      </c>
      <c r="D678" s="4">
        <v>45929</v>
      </c>
      <c r="E678" s="16" t="s">
        <v>724</v>
      </c>
      <c r="F678" s="2" t="s">
        <v>255</v>
      </c>
      <c r="G678" s="5" t="str">
        <f>HYPERLINK("https://siafe.sefaz.ce.gov.br/Siafe/downloadSignature?token=77bb0c9fb93741ddaded29b896956d7b","2025NE002810")</f>
        <v>2025NE002810</v>
      </c>
      <c r="H678" s="6">
        <v>117.84</v>
      </c>
      <c r="I678" s="7" t="s">
        <v>76</v>
      </c>
      <c r="J678" s="10" t="s">
        <v>288</v>
      </c>
      <c r="K678" t="str">
        <f t="shared" si="6"/>
        <v>2024NE000710</v>
      </c>
      <c r="L678" s="13">
        <v>110144</v>
      </c>
      <c r="M678" t="s">
        <v>73</v>
      </c>
      <c r="N678">
        <v>82845322000104</v>
      </c>
    </row>
    <row r="679" spans="1:14" x14ac:dyDescent="0.25">
      <c r="A679" s="12" t="s">
        <v>159</v>
      </c>
      <c r="B679" s="2" t="s">
        <v>253</v>
      </c>
      <c r="C679" s="3" t="str">
        <f>HYPERLINK("https://transparencia-area-fim.mpce.mp.br/#/consulta/processo/pastadigital/092025000282592","09.2025.00028259-2")</f>
        <v>09.2025.00028259-2</v>
      </c>
      <c r="D679" s="4">
        <v>45929</v>
      </c>
      <c r="E679" s="16" t="s">
        <v>724</v>
      </c>
      <c r="F679" s="2" t="s">
        <v>255</v>
      </c>
      <c r="G679" s="5" t="str">
        <f>HYPERLINK("https://siafe.sefaz.ce.gov.br/Siafe/downloadSignature?token=3cc9476f787e4a9c89af1e00bcda7dd6","2025NE002812")</f>
        <v>2025NE002812</v>
      </c>
      <c r="H679" s="6">
        <v>595.16999999999996</v>
      </c>
      <c r="I679" s="7" t="s">
        <v>77</v>
      </c>
      <c r="J679" s="10" t="s">
        <v>289</v>
      </c>
      <c r="K679" t="str">
        <f t="shared" si="6"/>
        <v>2024NE000710</v>
      </c>
      <c r="L679" s="13">
        <v>110144</v>
      </c>
      <c r="M679" t="s">
        <v>73</v>
      </c>
      <c r="N679">
        <v>82845322000104</v>
      </c>
    </row>
    <row r="680" spans="1:14" x14ac:dyDescent="0.25">
      <c r="A680" s="12" t="s">
        <v>159</v>
      </c>
      <c r="B680" s="2" t="s">
        <v>253</v>
      </c>
      <c r="C680" s="3" t="str">
        <f>HYPERLINK("https://transparencia-area-fim.mpce.mp.br/#/consulta/processo/pastadigital/092025000282626","09.2025.00028262-6")</f>
        <v>09.2025.00028262-6</v>
      </c>
      <c r="D680" s="4">
        <v>45929</v>
      </c>
      <c r="E680" s="16" t="s">
        <v>725</v>
      </c>
      <c r="F680" s="2" t="s">
        <v>255</v>
      </c>
      <c r="G680" s="5" t="str">
        <f>HYPERLINK("https://siafe.sefaz.ce.gov.br/Siafe/downloadSignature?token=c2dbcdb2064c4ac38f6ebb69814bc828","2025NE002813")</f>
        <v>2025NE002813</v>
      </c>
      <c r="H680" s="6">
        <v>600</v>
      </c>
      <c r="I680" s="7" t="s">
        <v>78</v>
      </c>
      <c r="J680" s="10" t="s">
        <v>295</v>
      </c>
      <c r="K680" t="str">
        <f t="shared" si="6"/>
        <v>2024NE000710</v>
      </c>
      <c r="L680" s="13">
        <v>110144</v>
      </c>
      <c r="M680" t="s">
        <v>73</v>
      </c>
      <c r="N680">
        <v>82845322000104</v>
      </c>
    </row>
    <row r="681" spans="1:14" x14ac:dyDescent="0.25">
      <c r="A681" s="12" t="s">
        <v>159</v>
      </c>
      <c r="B681" s="2" t="s">
        <v>253</v>
      </c>
      <c r="C681" s="3" t="str">
        <f>HYPERLINK("https://transparencia-area-fim.mpce.mp.br/#/consulta/processo/pastadigital/092025000282637","09.2025.00028263-7")</f>
        <v>09.2025.00028263-7</v>
      </c>
      <c r="D681" s="4">
        <v>45929</v>
      </c>
      <c r="E681" s="16" t="s">
        <v>724</v>
      </c>
      <c r="F681" s="2" t="s">
        <v>255</v>
      </c>
      <c r="G681" s="5" t="str">
        <f>HYPERLINK("https://siafe.sefaz.ce.gov.br/Siafe/downloadSignature?token=28020dedd9234a708aa97a5e3d42f497","2025NE002814")</f>
        <v>2025NE002814</v>
      </c>
      <c r="H681" s="6">
        <v>74.52</v>
      </c>
      <c r="I681" s="7" t="s">
        <v>81</v>
      </c>
      <c r="J681" s="10" t="s">
        <v>297</v>
      </c>
      <c r="K681" t="str">
        <f t="shared" si="6"/>
        <v>2024NE000710</v>
      </c>
      <c r="L681" s="13">
        <v>110144</v>
      </c>
      <c r="M681" t="s">
        <v>73</v>
      </c>
      <c r="N681">
        <v>82845322000104</v>
      </c>
    </row>
    <row r="682" spans="1:14" x14ac:dyDescent="0.25">
      <c r="A682" s="12" t="s">
        <v>19</v>
      </c>
      <c r="B682" s="2" t="s">
        <v>606</v>
      </c>
      <c r="C682" s="3" t="str">
        <f>HYPERLINK("https://transparencia-area-fim.mpce.mp.br/#/consulta/processo/pastadigital/092024000367240","09.2024.00036724-0")</f>
        <v>09.2024.00036724-0</v>
      </c>
      <c r="D682" s="4">
        <v>45931</v>
      </c>
      <c r="E682" s="16" t="str">
        <f>HYPERLINK("https://www8.mpce.mp.br/Empenhos/150001/Objeto/01-2024.pdf","SERVIÇOS TÉCNICOS ESPECIALIZADOS SOB DEMANDA- UST  PARA DESENVOLVER EIMPLEMENTAR PROJETOS COMTEMPLADOS PELO PROGRAMA TRANSFORMAÇÃO DIGITAL DO MP CONFORME CONTRATO 101/2024.")</f>
        <v>SERVIÇOS TÉCNICOS ESPECIALIZADOS SOB DEMANDA- UST  PARA DESENVOLVER EIMPLEMENTAR PROJETOS COMTEMPLADOS PELO PROGRAMA TRANSFORMAÇÃO DIGITAL DO MP CONFORME CONTRATO 101/2024.</v>
      </c>
      <c r="F682" s="2" t="s">
        <v>726</v>
      </c>
      <c r="G682" s="5" t="str">
        <f>HYPERLINK("https://siafe.sefaz.ce.gov.br/Siafe/downloadSignature?token=2c2536ca07b04738b9a06f5a0878d47c","2025NE002869")</f>
        <v>2025NE002869</v>
      </c>
      <c r="H682" s="6">
        <v>600151.03</v>
      </c>
      <c r="I682" s="7" t="s">
        <v>51</v>
      </c>
      <c r="J682" s="10" t="s">
        <v>212</v>
      </c>
      <c r="K682" t="str">
        <f>HYPERLINK("http://www8.mpce.mp.br/Empenhos/150501/NE/2024NE000711.pdf","2024NE000711")</f>
        <v>2024NE000711</v>
      </c>
      <c r="L682" s="13">
        <v>2531.5</v>
      </c>
      <c r="M682" t="s">
        <v>54</v>
      </c>
      <c r="N682">
        <v>7955535000165</v>
      </c>
    </row>
    <row r="683" spans="1:14" x14ac:dyDescent="0.25">
      <c r="A683" s="12" t="s">
        <v>19</v>
      </c>
      <c r="B683" s="2" t="s">
        <v>606</v>
      </c>
      <c r="C683" s="3" t="str">
        <f>HYPERLINK("https://transparencia-area-fim.mpce.mp.br/#/consulta/processo/pastadigital/092025000249071","09.2025.00024907-1")</f>
        <v>09.2025.00024907-1</v>
      </c>
      <c r="D683" s="4">
        <v>45950</v>
      </c>
      <c r="E683" s="16" t="s">
        <v>764</v>
      </c>
      <c r="F683" s="2" t="s">
        <v>765</v>
      </c>
      <c r="G683" s="5" t="str">
        <f>HYPERLINK("https://siafe.sefaz.ce.gov.br/Siafe/downloadSignature?token=0328b9b5c7e045db9d45b305ddfed56c","2025NE002997")</f>
        <v>2025NE002997</v>
      </c>
      <c r="H683" s="6">
        <v>1100</v>
      </c>
      <c r="I683" s="7" t="s">
        <v>766</v>
      </c>
      <c r="J683" s="10" t="s">
        <v>767</v>
      </c>
      <c r="K683" t="str">
        <f>HYPERLINK("http://www8.mpce.mp.br/Empenhos/150501/NE/2024NE000712.pdf","2024NE000712")</f>
        <v>2024NE000712</v>
      </c>
      <c r="L683" s="13">
        <v>19378.669999999998</v>
      </c>
      <c r="M683" t="s">
        <v>66</v>
      </c>
      <c r="N683">
        <v>3888247000184</v>
      </c>
    </row>
    <row r="684" spans="1:14" x14ac:dyDescent="0.25">
      <c r="A684" s="12" t="s">
        <v>19</v>
      </c>
      <c r="B684" s="2" t="s">
        <v>606</v>
      </c>
      <c r="C684" s="3" t="str">
        <f>HYPERLINK("https://transparencia-area-fim.mpce.mp.br/#/consulta/processo/pastadigital/092025000249071","09.2025.00024907-1")</f>
        <v>09.2025.00024907-1</v>
      </c>
      <c r="D684" s="4">
        <v>45950</v>
      </c>
      <c r="E684" s="16" t="s">
        <v>768</v>
      </c>
      <c r="F684" s="2" t="s">
        <v>765</v>
      </c>
      <c r="G684" s="5" t="str">
        <f>HYPERLINK("https://siafe.sefaz.ce.gov.br/Siafe/downloadSignature?token=a8b4000079ba4ba8975962f2ec562fd0","2025NE002998")</f>
        <v>2025NE002998</v>
      </c>
      <c r="H684" s="6">
        <v>799</v>
      </c>
      <c r="I684" s="7" t="s">
        <v>766</v>
      </c>
      <c r="J684" s="10" t="s">
        <v>767</v>
      </c>
      <c r="K684" t="str">
        <f>HYPERLINK("http://www8.mpce.mp.br/Empenhos/150501/NE/2024NE000713.pdf","2024NE000713")</f>
        <v>2024NE000713</v>
      </c>
      <c r="L684">
        <v>300</v>
      </c>
      <c r="M684" t="s">
        <v>83</v>
      </c>
      <c r="N684">
        <v>33757000181</v>
      </c>
    </row>
    <row r="685" spans="1:14" x14ac:dyDescent="0.25">
      <c r="A685" s="12" t="s">
        <v>19</v>
      </c>
      <c r="B685" s="2" t="s">
        <v>606</v>
      </c>
      <c r="C685" s="3" t="str">
        <f>HYPERLINK("https://transparencia-area-fim.mpce.mp.br/#/consulta/processo/pastadigital/092024000242263","09.2024.00024226-3")</f>
        <v>09.2024.00024226-3</v>
      </c>
      <c r="D685" s="4">
        <v>45951</v>
      </c>
      <c r="E685" s="16" t="str">
        <f>HYPERLINK("https://www8.mpce.mp.br/Empenhos/150001/Objeto/77-2024.pdf","SERVIÇOS ESPECIALIZADOS DE SOLUÇÃO DE TI- PLATAFORMA WHATSAPP, INCLUSOS INSTALAÇÃO, ATUALIZAÇÕES E SUPORTE TÉCNICO, CONFORME CONTRATO 077/2024.")</f>
        <v>SERVIÇOS ESPECIALIZADOS DE SOLUÇÃO DE TI- PLATAFORMA WHATSAPP, INCLUSOS INSTALAÇÃO, ATUALIZAÇÕES E SUPORTE TÉCNICO, CONFORME CONTRATO 077/2024.</v>
      </c>
      <c r="F685" s="2" t="s">
        <v>649</v>
      </c>
      <c r="G685" s="5" t="str">
        <f>HYPERLINK("https://siafe.sefaz.ce.gov.br/Siafe/downloadSignature?token=5809bf52b82046b9ae523d47ea7dc826","2025NE003020")</f>
        <v>2025NE003020</v>
      </c>
      <c r="H685" s="6">
        <v>7500</v>
      </c>
      <c r="I685" s="7" t="s">
        <v>336</v>
      </c>
      <c r="J685" s="10" t="s">
        <v>337</v>
      </c>
      <c r="K685" t="str">
        <f>HYPERLINK("http://www8.mpce.mp.br/Empenhos/150501/NE/2024NE000714.pdf","2024NE000714")</f>
        <v>2024NE000714</v>
      </c>
      <c r="L685" s="13">
        <v>65600</v>
      </c>
      <c r="M685" t="s">
        <v>72</v>
      </c>
      <c r="N685">
        <v>2593165000140</v>
      </c>
    </row>
    <row r="686" spans="1:14" x14ac:dyDescent="0.25">
      <c r="A686" s="12" t="s">
        <v>19</v>
      </c>
      <c r="B686" s="2" t="s">
        <v>606</v>
      </c>
      <c r="C686" s="3" t="str">
        <f>HYPERLINK("https://transparencia-area-fim.mpce.mp.br/#/consulta/processo/pastadigital/092025000298573","09.2025.00029857-3")</f>
        <v>09.2025.00029857-3</v>
      </c>
      <c r="D686" s="4">
        <v>45952</v>
      </c>
      <c r="E686" s="16" t="s">
        <v>769</v>
      </c>
      <c r="F686" s="2" t="s">
        <v>588</v>
      </c>
      <c r="G686" s="5" t="str">
        <f>HYPERLINK("https://siafe.sefaz.ce.gov.br/Siafe/downloadSignature?token=af9ab4db33804fd9bedc780d8f81620f","2025NE003048")</f>
        <v>2025NE003048</v>
      </c>
      <c r="H686" s="6">
        <v>6540</v>
      </c>
      <c r="I686" s="7" t="s">
        <v>770</v>
      </c>
      <c r="J686" s="10" t="s">
        <v>771</v>
      </c>
      <c r="K686" t="str">
        <f t="shared" ref="K686:K695" si="7">HYPERLINK("http://www8.mpce.mp.br/Empenhos/150501/NE/2024NE000716.pdf","2024NE000716")</f>
        <v>2024NE000716</v>
      </c>
      <c r="L686" s="13">
        <v>104500</v>
      </c>
      <c r="M686" t="s">
        <v>73</v>
      </c>
      <c r="N686">
        <v>82845322000104</v>
      </c>
    </row>
    <row r="687" spans="1:14" x14ac:dyDescent="0.25">
      <c r="A687" s="12" t="s">
        <v>19</v>
      </c>
      <c r="B687" s="2" t="s">
        <v>774</v>
      </c>
      <c r="C687" s="3" t="str">
        <f>HYPERLINK("https://transparencia-area-fim.mpce.mp.br/#/consulta/processo/pastadigital/092025000340566","092025.00034056-6")</f>
        <v>092025.00034056-6</v>
      </c>
      <c r="D687" s="4">
        <v>45985</v>
      </c>
      <c r="E687" s="16" t="s">
        <v>775</v>
      </c>
      <c r="F687" s="2" t="s">
        <v>214</v>
      </c>
      <c r="G687" s="5" t="str">
        <f>HYPERLINK("https://siafe.sefaz.ce.gov.br/Siafe/downloadSignature?token=d332be9fbae9452ab7b5ee47231b274f","2025NE003293")</f>
        <v>2025NE003293</v>
      </c>
      <c r="H687" s="6">
        <v>2994</v>
      </c>
      <c r="I687" s="7" t="s">
        <v>776</v>
      </c>
      <c r="J687" s="10" t="s">
        <v>777</v>
      </c>
      <c r="K687" t="str">
        <f t="shared" si="7"/>
        <v>2024NE000716</v>
      </c>
      <c r="L687" s="13">
        <v>104500</v>
      </c>
      <c r="M687" t="s">
        <v>73</v>
      </c>
      <c r="N687">
        <v>82845322000104</v>
      </c>
    </row>
    <row r="688" spans="1:14" x14ac:dyDescent="0.25">
      <c r="A688" s="12" t="s">
        <v>19</v>
      </c>
      <c r="B688" s="2" t="s">
        <v>243</v>
      </c>
      <c r="C688" s="3" t="str">
        <f>HYPERLINK("https://transparencia-area-fim.mpce.mp.br/#/consulta/processo/pastadigital/092024000242263","09.2024.00024226-3")</f>
        <v>09.2024.00024226-3</v>
      </c>
      <c r="D688" s="4">
        <v>45988</v>
      </c>
      <c r="E688" s="17" t="str">
        <f>HYPERLINK("https://www8.mpce.mp.br/Empenhos/150001/Objeto/77-2024.pdf","EMPENHO REF. SERVIÇOS TÉCNICOS ESPECIALIZADOS, VISANDO A IMPLEMENTAÇÃO DA SOLUÇÃO DE TI - PLATAFORMA WHATSAPP BUSINESS, INCLUINDO A INSTALAÇÃO, ATUALIZAÇÕES E SUPORTE TÉCNICO, C"&amp;"ONF. CONTRATO 077/2024, REF. SET, OUT, NOV E DEZ/2025, POR ESTIMATIVA.")</f>
        <v>EMPENHO REF. SERVIÇOS TÉCNICOS ESPECIALIZADOS, VISANDO A IMPLEMENTAÇÃO DA SOLUÇÃO DE TI - PLATAFORMA WHATSAPP BUSINESS, INCLUINDO A INSTALAÇÃO, ATUALIZAÇÕES E SUPORTE TÉCNICO, CONF. CONTRATO 077/2024, REF. SET, OUT, NOV E DEZ/2025, POR ESTIMATIVA.</v>
      </c>
      <c r="F688" s="2" t="s">
        <v>284</v>
      </c>
      <c r="G688" s="5" t="str">
        <f>HYPERLINK("https://siafe.sefaz.ce.gov.br/Siafe/downloadSignature?token=604ba1c531314a5887110370141c41b1","2025NE003324")</f>
        <v>2025NE003324</v>
      </c>
      <c r="H688" s="6">
        <v>1798.61</v>
      </c>
      <c r="I688" s="7" t="s">
        <v>336</v>
      </c>
      <c r="J688" s="10" t="s">
        <v>337</v>
      </c>
      <c r="K688" t="str">
        <f t="shared" si="7"/>
        <v>2024NE000716</v>
      </c>
      <c r="L688" s="13">
        <v>104500</v>
      </c>
      <c r="M688" t="s">
        <v>73</v>
      </c>
      <c r="N688">
        <v>82845322000104</v>
      </c>
    </row>
    <row r="689" spans="1:14" x14ac:dyDescent="0.25">
      <c r="A689" s="12"/>
      <c r="B689" s="2"/>
      <c r="C689" s="3"/>
      <c r="D689" s="4"/>
      <c r="E689" s="16"/>
      <c r="F689" s="2"/>
      <c r="G689" s="5"/>
      <c r="H689" s="6"/>
      <c r="I689" s="7"/>
      <c r="J689" s="10"/>
      <c r="K689" t="str">
        <f t="shared" si="7"/>
        <v>2024NE000716</v>
      </c>
      <c r="L689" s="13">
        <v>104500</v>
      </c>
      <c r="M689" t="s">
        <v>73</v>
      </c>
      <c r="N689">
        <v>82845322000104</v>
      </c>
    </row>
    <row r="690" spans="1:14" x14ac:dyDescent="0.25">
      <c r="A690" s="12"/>
      <c r="B690" s="2"/>
      <c r="C690" s="3"/>
      <c r="D690" s="4"/>
      <c r="E690" s="16"/>
      <c r="F690" s="2"/>
      <c r="G690" s="5"/>
      <c r="H690" s="6"/>
      <c r="I690" s="7"/>
      <c r="J690" s="10"/>
      <c r="K690" t="str">
        <f t="shared" si="7"/>
        <v>2024NE000716</v>
      </c>
      <c r="L690" s="13">
        <v>104500</v>
      </c>
      <c r="M690" t="s">
        <v>73</v>
      </c>
      <c r="N690">
        <v>82845322000104</v>
      </c>
    </row>
    <row r="691" spans="1:14" x14ac:dyDescent="0.25">
      <c r="A691" s="12"/>
      <c r="B691" s="2"/>
      <c r="C691" s="3"/>
      <c r="D691" s="4"/>
      <c r="E691" s="16"/>
      <c r="F691" s="2"/>
      <c r="G691" s="5"/>
      <c r="H691" s="6"/>
      <c r="I691" s="7"/>
      <c r="J691" s="10"/>
      <c r="K691" t="str">
        <f t="shared" si="7"/>
        <v>2024NE000716</v>
      </c>
      <c r="L691" s="13">
        <v>104500</v>
      </c>
      <c r="M691" t="s">
        <v>73</v>
      </c>
      <c r="N691">
        <v>82845322000104</v>
      </c>
    </row>
    <row r="692" spans="1:14" x14ac:dyDescent="0.25">
      <c r="A692" s="12"/>
      <c r="B692" s="2"/>
      <c r="C692" s="3"/>
      <c r="D692" s="4"/>
      <c r="E692" s="16"/>
      <c r="F692" s="2"/>
      <c r="G692" s="5"/>
      <c r="H692" s="6"/>
      <c r="I692" s="7"/>
      <c r="J692" s="10"/>
      <c r="K692" t="str">
        <f t="shared" si="7"/>
        <v>2024NE000716</v>
      </c>
      <c r="L692" s="13">
        <v>104500</v>
      </c>
      <c r="M692" t="s">
        <v>73</v>
      </c>
      <c r="N692">
        <v>82845322000104</v>
      </c>
    </row>
    <row r="693" spans="1:14" x14ac:dyDescent="0.25">
      <c r="A693" s="12"/>
      <c r="B693" s="2"/>
      <c r="C693" s="3"/>
      <c r="D693" s="4"/>
      <c r="E693" s="16"/>
      <c r="F693" s="2"/>
      <c r="G693" s="5"/>
      <c r="H693" s="6"/>
      <c r="I693" s="7"/>
      <c r="J693" s="10"/>
      <c r="K693" t="str">
        <f t="shared" si="7"/>
        <v>2024NE000716</v>
      </c>
      <c r="L693" s="13">
        <v>104500</v>
      </c>
      <c r="M693" t="s">
        <v>73</v>
      </c>
      <c r="N693">
        <v>82845322000104</v>
      </c>
    </row>
    <row r="694" spans="1:14" x14ac:dyDescent="0.25">
      <c r="A694" s="12"/>
      <c r="B694" s="2"/>
      <c r="C694" s="3"/>
      <c r="D694" s="4"/>
      <c r="E694" s="16"/>
      <c r="F694" s="2"/>
      <c r="G694" s="5"/>
      <c r="H694" s="6"/>
      <c r="I694" s="7"/>
      <c r="J694" s="10"/>
      <c r="K694" t="str">
        <f t="shared" si="7"/>
        <v>2024NE000716</v>
      </c>
      <c r="L694" s="13">
        <v>104500</v>
      </c>
      <c r="M694" t="s">
        <v>73</v>
      </c>
      <c r="N694">
        <v>82845322000104</v>
      </c>
    </row>
    <row r="695" spans="1:14" x14ac:dyDescent="0.25">
      <c r="A695" s="12"/>
      <c r="B695" s="2"/>
      <c r="C695" s="3"/>
      <c r="D695" s="4"/>
      <c r="E695" s="16"/>
      <c r="F695" s="2"/>
      <c r="G695" s="5"/>
      <c r="H695" s="6"/>
      <c r="I695" s="7"/>
      <c r="J695" s="10"/>
      <c r="K695" t="str">
        <f t="shared" si="7"/>
        <v>2024NE000716</v>
      </c>
      <c r="L695" s="13">
        <v>104500</v>
      </c>
      <c r="M695" t="s">
        <v>73</v>
      </c>
      <c r="N695">
        <v>82845322000104</v>
      </c>
    </row>
    <row r="696" spans="1:14" x14ac:dyDescent="0.25">
      <c r="A696" s="12"/>
      <c r="B696" s="2"/>
      <c r="C696" s="3"/>
      <c r="D696" s="4"/>
      <c r="E696" s="16"/>
      <c r="F696" s="2"/>
      <c r="G696" s="5"/>
      <c r="H696" s="6"/>
      <c r="I696" s="7"/>
      <c r="J696" s="10"/>
      <c r="K696" t="str">
        <f t="shared" ref="K696:K705" si="8">HYPERLINK("http://www8.mpce.mp.br/Empenhos/150501/NE/2024NE000717.pdf","2024NE000717")</f>
        <v>2024NE000717</v>
      </c>
      <c r="L696" s="13">
        <v>44000</v>
      </c>
      <c r="M696" t="s">
        <v>73</v>
      </c>
      <c r="N696">
        <v>82845322000104</v>
      </c>
    </row>
    <row r="697" spans="1:14" x14ac:dyDescent="0.25">
      <c r="A697" s="12"/>
      <c r="B697" s="2"/>
      <c r="C697" s="3"/>
      <c r="D697" s="4"/>
      <c r="E697" s="16"/>
      <c r="F697" s="2"/>
      <c r="G697" s="5"/>
      <c r="H697" s="6"/>
      <c r="I697" s="7"/>
      <c r="J697" s="10"/>
      <c r="K697" t="str">
        <f t="shared" si="8"/>
        <v>2024NE000717</v>
      </c>
      <c r="L697" s="13">
        <v>44000</v>
      </c>
      <c r="M697" t="s">
        <v>73</v>
      </c>
      <c r="N697">
        <v>82845322000104</v>
      </c>
    </row>
    <row r="698" spans="1:14" x14ac:dyDescent="0.25">
      <c r="A698" s="12"/>
      <c r="B698" s="2"/>
      <c r="C698" s="3"/>
      <c r="D698" s="4"/>
      <c r="E698" s="16"/>
      <c r="F698" s="2"/>
      <c r="G698" s="5"/>
      <c r="H698" s="6"/>
      <c r="I698" s="7"/>
      <c r="J698" s="10"/>
      <c r="K698" t="str">
        <f t="shared" si="8"/>
        <v>2024NE000717</v>
      </c>
      <c r="L698" s="13">
        <v>44000</v>
      </c>
      <c r="M698" t="s">
        <v>73</v>
      </c>
      <c r="N698">
        <v>82845322000104</v>
      </c>
    </row>
    <row r="699" spans="1:14" x14ac:dyDescent="0.25">
      <c r="A699" s="12"/>
      <c r="B699" s="2"/>
      <c r="C699" s="3"/>
      <c r="D699" s="4"/>
      <c r="E699" s="16"/>
      <c r="F699" s="2"/>
      <c r="G699" s="5"/>
      <c r="H699" s="6"/>
      <c r="I699" s="7"/>
      <c r="J699" s="10"/>
      <c r="K699" t="str">
        <f t="shared" si="8"/>
        <v>2024NE000717</v>
      </c>
      <c r="L699" s="13">
        <v>44000</v>
      </c>
      <c r="M699" t="s">
        <v>73</v>
      </c>
      <c r="N699">
        <v>82845322000104</v>
      </c>
    </row>
    <row r="700" spans="1:14" x14ac:dyDescent="0.25">
      <c r="A700" s="12"/>
      <c r="B700" s="2"/>
      <c r="C700" s="3"/>
      <c r="D700" s="4"/>
      <c r="E700" s="16"/>
      <c r="F700" s="2"/>
      <c r="G700" s="5"/>
      <c r="H700" s="6"/>
      <c r="I700" s="7"/>
      <c r="J700" s="10"/>
      <c r="K700" t="str">
        <f t="shared" si="8"/>
        <v>2024NE000717</v>
      </c>
      <c r="L700" s="13">
        <v>44000</v>
      </c>
      <c r="M700" t="s">
        <v>73</v>
      </c>
      <c r="N700">
        <v>82845322000104</v>
      </c>
    </row>
    <row r="701" spans="1:14" x14ac:dyDescent="0.25">
      <c r="A701" s="12"/>
      <c r="B701" s="2"/>
      <c r="C701" s="3"/>
      <c r="D701" s="4"/>
      <c r="E701" s="16"/>
      <c r="F701" s="2"/>
      <c r="G701" s="5"/>
      <c r="H701" s="6"/>
      <c r="I701" s="7"/>
      <c r="J701" s="10"/>
      <c r="K701" t="str">
        <f t="shared" si="8"/>
        <v>2024NE000717</v>
      </c>
      <c r="L701" s="13">
        <v>44000</v>
      </c>
      <c r="M701" t="s">
        <v>73</v>
      </c>
      <c r="N701">
        <v>82845322000104</v>
      </c>
    </row>
    <row r="702" spans="1:14" x14ac:dyDescent="0.25">
      <c r="A702" s="12"/>
      <c r="B702" s="2"/>
      <c r="C702" s="3"/>
      <c r="D702" s="4"/>
      <c r="E702" s="16"/>
      <c r="F702" s="2"/>
      <c r="G702" s="5"/>
      <c r="H702" s="6"/>
      <c r="I702" s="7"/>
      <c r="J702" s="10"/>
      <c r="K702" t="str">
        <f t="shared" si="8"/>
        <v>2024NE000717</v>
      </c>
      <c r="L702" s="13">
        <v>44000</v>
      </c>
      <c r="M702" t="s">
        <v>73</v>
      </c>
      <c r="N702">
        <v>82845322000104</v>
      </c>
    </row>
    <row r="703" spans="1:14" x14ac:dyDescent="0.25">
      <c r="A703" s="12"/>
      <c r="B703" s="2"/>
      <c r="C703" s="3"/>
      <c r="D703" s="4"/>
      <c r="E703" s="16"/>
      <c r="F703" s="2"/>
      <c r="G703" s="5"/>
      <c r="H703" s="6"/>
      <c r="I703" s="7"/>
      <c r="J703" s="10"/>
      <c r="K703" t="str">
        <f t="shared" si="8"/>
        <v>2024NE000717</v>
      </c>
      <c r="L703" s="13">
        <v>44000</v>
      </c>
      <c r="M703" t="s">
        <v>73</v>
      </c>
      <c r="N703">
        <v>82845322000104</v>
      </c>
    </row>
    <row r="704" spans="1:14" x14ac:dyDescent="0.25">
      <c r="A704" s="12"/>
      <c r="B704" s="2"/>
      <c r="C704" s="3"/>
      <c r="D704" s="4"/>
      <c r="E704" s="16"/>
      <c r="F704" s="2"/>
      <c r="G704" s="5"/>
      <c r="H704" s="6"/>
      <c r="I704" s="7"/>
      <c r="J704" s="10"/>
      <c r="K704" t="str">
        <f t="shared" si="8"/>
        <v>2024NE000717</v>
      </c>
      <c r="L704" s="13">
        <v>44000</v>
      </c>
      <c r="M704" t="s">
        <v>73</v>
      </c>
      <c r="N704">
        <v>82845322000104</v>
      </c>
    </row>
    <row r="705" spans="1:14" x14ac:dyDescent="0.25">
      <c r="A705" s="12"/>
      <c r="B705" s="2"/>
      <c r="C705" s="3"/>
      <c r="D705" s="4"/>
      <c r="E705" s="16"/>
      <c r="F705" s="2"/>
      <c r="G705" s="5"/>
      <c r="H705" s="6"/>
      <c r="I705" s="7"/>
      <c r="J705" s="10"/>
      <c r="K705" t="str">
        <f t="shared" si="8"/>
        <v>2024NE000717</v>
      </c>
      <c r="L705" s="13">
        <v>44000</v>
      </c>
      <c r="M705" t="s">
        <v>73</v>
      </c>
      <c r="N705">
        <v>82845322000104</v>
      </c>
    </row>
    <row r="706" spans="1:14" x14ac:dyDescent="0.25">
      <c r="A706" s="12"/>
      <c r="B706" s="2"/>
      <c r="C706" s="3"/>
      <c r="D706" s="4"/>
      <c r="E706" s="16"/>
      <c r="F706" s="2"/>
      <c r="G706" s="5"/>
      <c r="H706" s="6"/>
      <c r="I706" s="7"/>
      <c r="J706" s="10"/>
      <c r="K706" t="str">
        <f>HYPERLINK("http://www8.mpce.mp.br/Empenhos/150501/NE/2024NE000718.pdf","2024NE000718")</f>
        <v>2024NE000718</v>
      </c>
      <c r="L706" s="13">
        <v>1087.81</v>
      </c>
      <c r="M706" t="s">
        <v>101</v>
      </c>
      <c r="N706">
        <v>29417319000107</v>
      </c>
    </row>
    <row r="707" spans="1:14" x14ac:dyDescent="0.25">
      <c r="A707" s="12"/>
      <c r="B707" s="2"/>
      <c r="C707" s="3"/>
      <c r="D707" s="4"/>
      <c r="E707" s="16"/>
      <c r="F707" s="2"/>
      <c r="G707" s="5"/>
      <c r="H707" s="6"/>
      <c r="I707" s="7"/>
      <c r="J707" s="10"/>
      <c r="K707" t="str">
        <f>HYPERLINK("http://www8.mpce.mp.br/Empenhos/150501/NE/2024NE000720.pdf","2024NE000720")</f>
        <v>2024NE000720</v>
      </c>
      <c r="L707" s="13">
        <v>45127.360000000001</v>
      </c>
      <c r="M707" t="s">
        <v>51</v>
      </c>
      <c r="N707">
        <v>3773788000167</v>
      </c>
    </row>
    <row r="708" spans="1:14" x14ac:dyDescent="0.25">
      <c r="A708" s="12"/>
      <c r="B708" s="2"/>
      <c r="C708" s="3"/>
      <c r="D708" s="4"/>
      <c r="E708" s="16"/>
      <c r="F708" s="2"/>
      <c r="G708" s="5"/>
      <c r="H708" s="6"/>
      <c r="I708" s="7"/>
      <c r="J708" s="10"/>
      <c r="K708" t="str">
        <f>HYPERLINK("http://www8.mpce.mp.br/Empenhos/150501/NE/2024NE000722.pdf","2024NE000722")</f>
        <v>2024NE000722</v>
      </c>
      <c r="L708">
        <v>152.32</v>
      </c>
      <c r="M708" t="s">
        <v>29</v>
      </c>
      <c r="N708">
        <v>5569807000163</v>
      </c>
    </row>
    <row r="709" spans="1:14" x14ac:dyDescent="0.25">
      <c r="A709" s="12"/>
      <c r="B709" s="2"/>
      <c r="C709" s="3"/>
      <c r="D709" s="4"/>
      <c r="E709" s="16"/>
      <c r="F709" s="2"/>
      <c r="G709" s="5"/>
      <c r="H709" s="6"/>
      <c r="I709" s="7"/>
      <c r="J709" s="10"/>
      <c r="K709" t="str">
        <f>HYPERLINK("http://www8.mpce.mp.br/Empenhos/150501/NE/2024NE000723.pdf","2024NE000723")</f>
        <v>2024NE000723</v>
      </c>
      <c r="L709" s="13">
        <v>2619.0100000000002</v>
      </c>
      <c r="M709" t="s">
        <v>29</v>
      </c>
      <c r="N709">
        <v>5569807000163</v>
      </c>
    </row>
    <row r="710" spans="1:14" x14ac:dyDescent="0.25">
      <c r="A710" s="12"/>
      <c r="B710" s="2"/>
      <c r="C710" s="3"/>
      <c r="D710" s="4"/>
      <c r="E710" s="16"/>
      <c r="F710" s="2"/>
      <c r="G710" s="5"/>
      <c r="H710" s="6"/>
      <c r="I710" s="7"/>
      <c r="J710" s="10"/>
      <c r="K710" t="str">
        <f>HYPERLINK("http://www8.mpce.mp.br/Empenhos/150501/NE/2024NE000724.pdf","2024NE000724")</f>
        <v>2024NE000724</v>
      </c>
      <c r="L710" s="13">
        <v>2115.4299999999998</v>
      </c>
      <c r="M710" t="s">
        <v>26</v>
      </c>
      <c r="N710">
        <v>41456187000110</v>
      </c>
    </row>
    <row r="711" spans="1:14" x14ac:dyDescent="0.25">
      <c r="A711" s="12"/>
      <c r="B711" s="2"/>
      <c r="C711" s="3"/>
      <c r="D711" s="4"/>
      <c r="E711" s="16"/>
      <c r="F711" s="2"/>
      <c r="G711" s="5"/>
      <c r="H711" s="6"/>
      <c r="I711" s="7"/>
      <c r="J711" s="10"/>
      <c r="K711" t="str">
        <f>HYPERLINK("http://www8.mpce.mp.br/Empenhos/150501/NE/2024NE000727.pdf","2024NE000727")</f>
        <v>2024NE000727</v>
      </c>
      <c r="L711" s="13">
        <v>21689.95</v>
      </c>
      <c r="M711" t="s">
        <v>112</v>
      </c>
      <c r="N711">
        <v>52677115000119</v>
      </c>
    </row>
    <row r="712" spans="1:14" x14ac:dyDescent="0.25">
      <c r="A712" s="12"/>
      <c r="B712" s="2"/>
      <c r="C712" s="3"/>
      <c r="D712" s="4"/>
      <c r="E712" s="16"/>
      <c r="F712" s="2"/>
      <c r="G712" s="5"/>
      <c r="H712" s="6"/>
      <c r="I712" s="7"/>
      <c r="J712" s="10"/>
      <c r="K712" t="str">
        <f>HYPERLINK("http://www8.mpce.mp.br/Empenhos/150501/NE/2024NE000729.pdf","2024NE000729")</f>
        <v>2024NE000729</v>
      </c>
      <c r="L712" s="13">
        <v>31000</v>
      </c>
      <c r="M712" t="s">
        <v>54</v>
      </c>
      <c r="N712">
        <v>7955535000165</v>
      </c>
    </row>
    <row r="713" spans="1:14" x14ac:dyDescent="0.25">
      <c r="A713" s="12"/>
      <c r="B713" s="2"/>
      <c r="C713" s="3"/>
      <c r="D713" s="4"/>
      <c r="E713" s="16"/>
      <c r="F713" s="2"/>
      <c r="G713" s="5"/>
      <c r="H713" s="6"/>
      <c r="I713" s="7"/>
      <c r="J713" s="10"/>
      <c r="K713" t="str">
        <f>HYPERLINK("http://www8.mpce.mp.br/Empenhos/150501/NE/2024NE000731.pdf","2024NE000731")</f>
        <v>2024NE000731</v>
      </c>
      <c r="L713" s="13">
        <v>72584.44</v>
      </c>
      <c r="M713" t="s">
        <v>90</v>
      </c>
      <c r="N713">
        <v>41548652000142</v>
      </c>
    </row>
    <row r="714" spans="1:14" x14ac:dyDescent="0.25">
      <c r="A714" s="12"/>
      <c r="B714" s="2"/>
      <c r="C714" s="3"/>
      <c r="D714" s="4"/>
      <c r="E714" s="16"/>
      <c r="F714" s="2"/>
      <c r="G714" s="5"/>
      <c r="H714" s="6"/>
      <c r="I714" s="7"/>
      <c r="J714" s="10"/>
      <c r="K714" t="str">
        <f>HYPERLINK("http://www8.mpce.mp.br/Empenhos/150501/NE/2024NE000739.pdf","2024NE000739")</f>
        <v>2024NE000739</v>
      </c>
      <c r="L714" s="13">
        <v>123286.67</v>
      </c>
      <c r="M714" t="s">
        <v>51</v>
      </c>
      <c r="N714">
        <v>3773788000167</v>
      </c>
    </row>
    <row r="715" spans="1:14" x14ac:dyDescent="0.25">
      <c r="A715" s="12"/>
      <c r="B715" s="2"/>
      <c r="C715" s="3"/>
      <c r="D715" s="4"/>
      <c r="E715" s="16"/>
      <c r="F715" s="2"/>
      <c r="G715" s="5"/>
      <c r="H715" s="6"/>
      <c r="I715" s="7"/>
      <c r="J715" s="10"/>
      <c r="K715" t="str">
        <f>HYPERLINK("http://www8.mpce.mp.br/Empenhos/150501/NE/2024NE000739.pdf","2024NE000739")</f>
        <v>2024NE000739</v>
      </c>
      <c r="L715" s="13">
        <v>123286.67</v>
      </c>
      <c r="M715" t="s">
        <v>51</v>
      </c>
      <c r="N715">
        <v>3773788000167</v>
      </c>
    </row>
    <row r="716" spans="1:14" x14ac:dyDescent="0.25">
      <c r="A716" s="12"/>
      <c r="B716" s="2"/>
      <c r="C716" s="3"/>
      <c r="D716" s="4"/>
      <c r="E716" s="16"/>
      <c r="F716" s="2"/>
      <c r="G716" s="5"/>
      <c r="H716" s="6"/>
      <c r="I716" s="7"/>
      <c r="J716" s="10"/>
      <c r="K716" t="str">
        <f>HYPERLINK("http://www8.mpce.mp.br/Empenhos/150501/NE/2024NE000739.pdf","2024NE000739")</f>
        <v>2024NE000739</v>
      </c>
      <c r="L716" s="13">
        <v>123286.67</v>
      </c>
      <c r="M716" t="s">
        <v>51</v>
      </c>
      <c r="N716">
        <v>3773788000167</v>
      </c>
    </row>
    <row r="717" spans="1:14" x14ac:dyDescent="0.25">
      <c r="A717" s="12"/>
      <c r="B717" s="2"/>
      <c r="C717" s="3"/>
      <c r="D717" s="4"/>
      <c r="E717" s="16"/>
      <c r="F717" s="2"/>
      <c r="G717" s="5"/>
      <c r="H717" s="6"/>
      <c r="I717" s="7"/>
      <c r="J717" s="10"/>
      <c r="K717" t="str">
        <f>HYPERLINK("http://www8.mpce.mp.br/Empenhos/150501/NE/2024NE000765.pdf","2024NE000765")</f>
        <v>2024NE000765</v>
      </c>
      <c r="L717" s="13">
        <v>5725.06</v>
      </c>
      <c r="M717" t="s">
        <v>27</v>
      </c>
      <c r="N717">
        <v>22705562000173</v>
      </c>
    </row>
    <row r="718" spans="1:14" x14ac:dyDescent="0.25">
      <c r="A718" s="12"/>
      <c r="B718" s="2"/>
      <c r="C718" s="3"/>
      <c r="D718" s="4"/>
      <c r="E718" s="16"/>
      <c r="F718" s="2"/>
      <c r="G718" s="5"/>
      <c r="H718" s="6"/>
      <c r="I718" s="7"/>
      <c r="J718" s="10"/>
      <c r="K718" t="str">
        <f>HYPERLINK("http://www8.mpce.mp.br/Empenhos/150501/NE/2024NE000771.pdf","2024NE000771")</f>
        <v>2024NE000771</v>
      </c>
      <c r="L718" s="13">
        <v>256704</v>
      </c>
      <c r="M718" t="s">
        <v>51</v>
      </c>
      <c r="N718">
        <v>3773788000167</v>
      </c>
    </row>
    <row r="719" spans="1:14" x14ac:dyDescent="0.25">
      <c r="A719" s="12"/>
      <c r="B719" s="2"/>
      <c r="C719" s="3"/>
      <c r="D719" s="4"/>
      <c r="E719" s="16"/>
      <c r="F719" s="2"/>
      <c r="G719" s="5"/>
      <c r="H719" s="6"/>
      <c r="I719" s="7"/>
      <c r="J719" s="10"/>
      <c r="K719" t="str">
        <f>HYPERLINK("http://www8.mpce.mp.br/Empenhos/150501/NE/2024NE000771.pdf","2024NE000771")</f>
        <v>2024NE000771</v>
      </c>
      <c r="L719" s="13">
        <v>256704</v>
      </c>
      <c r="M719" t="s">
        <v>51</v>
      </c>
      <c r="N719">
        <v>3773788000167</v>
      </c>
    </row>
    <row r="720" spans="1:14" x14ac:dyDescent="0.25">
      <c r="A720" s="12"/>
      <c r="B720" s="2"/>
      <c r="C720" s="3"/>
      <c r="D720" s="4"/>
      <c r="E720" s="16"/>
      <c r="F720" s="2"/>
      <c r="G720" s="5"/>
      <c r="H720" s="6"/>
      <c r="I720" s="7"/>
      <c r="J720" s="10"/>
      <c r="K720" t="str">
        <f>HYPERLINK("http://www8.mpce.mp.br/Empenhos/150501/NE/2024NE000771.pdf","2024NE000771")</f>
        <v>2024NE000771</v>
      </c>
      <c r="L720" s="13">
        <v>256704</v>
      </c>
      <c r="M720" t="s">
        <v>51</v>
      </c>
      <c r="N720">
        <v>3773788000167</v>
      </c>
    </row>
    <row r="721" spans="1:14" x14ac:dyDescent="0.25">
      <c r="A721" s="12"/>
      <c r="B721" s="2"/>
      <c r="C721" s="3"/>
      <c r="D721" s="4"/>
      <c r="E721" s="17"/>
      <c r="F721" s="2"/>
      <c r="G721" s="5"/>
      <c r="H721" s="6"/>
      <c r="I721" s="7"/>
      <c r="J721" s="10"/>
      <c r="K721" t="str">
        <f>HYPERLINK("http://www8.mpce.mp.br/Empenhos/150501/NE/2024NE000771.pdf","2024NE000771")</f>
        <v>2024NE000771</v>
      </c>
      <c r="L721" s="13">
        <v>256704</v>
      </c>
      <c r="M721" t="s">
        <v>51</v>
      </c>
      <c r="N721">
        <v>3773788000167</v>
      </c>
    </row>
    <row r="722" spans="1:14" x14ac:dyDescent="0.25">
      <c r="A722" s="12"/>
      <c r="B722" s="2"/>
      <c r="C722" s="3"/>
      <c r="D722" s="4"/>
      <c r="E722" s="16"/>
      <c r="F722" s="2"/>
      <c r="G722" s="5"/>
      <c r="H722" s="6"/>
      <c r="I722" s="7"/>
      <c r="J722" s="10"/>
      <c r="K722" t="str">
        <f>HYPERLINK("http://www8.mpce.mp.br/Empenhos/150501/NE/2024NE000780.pdf","2024NE000780")</f>
        <v>2024NE000780</v>
      </c>
      <c r="L722">
        <v>994.11</v>
      </c>
      <c r="M722" t="s">
        <v>113</v>
      </c>
      <c r="N722">
        <v>61198164000160</v>
      </c>
    </row>
    <row r="723" spans="1:14" x14ac:dyDescent="0.25">
      <c r="A723" s="12"/>
      <c r="B723" s="2"/>
      <c r="C723" s="3"/>
      <c r="D723" s="4"/>
      <c r="E723" s="16"/>
      <c r="F723" s="2"/>
      <c r="G723" s="5"/>
      <c r="H723" s="6"/>
      <c r="I723" s="7"/>
      <c r="J723" s="10"/>
      <c r="K723" t="str">
        <f>HYPERLINK("http://www8.mpce.mp.br/Empenhos/150501/NE/2024NE000792.pdf","2024NE000792")</f>
        <v>2024NE000792</v>
      </c>
      <c r="L723" s="13">
        <v>103000</v>
      </c>
      <c r="M723" t="s">
        <v>57</v>
      </c>
      <c r="N723">
        <v>15664649000184</v>
      </c>
    </row>
    <row r="724" spans="1:14" x14ac:dyDescent="0.25">
      <c r="A724" s="12"/>
      <c r="B724" s="2"/>
      <c r="C724" s="3"/>
      <c r="D724" s="4"/>
      <c r="E724" s="16"/>
      <c r="F724" s="2"/>
      <c r="G724" s="5"/>
      <c r="H724" s="6"/>
      <c r="I724" s="7"/>
      <c r="J724" s="10"/>
      <c r="K724" t="str">
        <f>HYPERLINK("http://www8.mpce.mp.br/Empenhos/150001/NE/2024NE000795.pdf","2024NE000795")</f>
        <v>2024NE000795</v>
      </c>
      <c r="L724" s="13">
        <v>60000</v>
      </c>
      <c r="M724" t="s">
        <v>50</v>
      </c>
      <c r="N724">
        <v>34028316001002</v>
      </c>
    </row>
    <row r="725" spans="1:14" x14ac:dyDescent="0.25">
      <c r="A725" s="12"/>
      <c r="B725" s="2"/>
      <c r="C725" s="3"/>
      <c r="D725" s="4"/>
      <c r="E725" s="16"/>
      <c r="F725" s="2"/>
      <c r="G725" s="5"/>
      <c r="H725" s="6"/>
      <c r="I725" s="7"/>
      <c r="J725" s="10"/>
      <c r="K725" t="str">
        <f>HYPERLINK("http://www8.mpce.mp.br/Empenhos/150501/NE/2024NE000797.pdf","2024NE000797")</f>
        <v>2024NE000797</v>
      </c>
      <c r="L725">
        <v>109.83</v>
      </c>
      <c r="M725" t="s">
        <v>43</v>
      </c>
      <c r="N725">
        <v>22588967000179</v>
      </c>
    </row>
    <row r="726" spans="1:14" x14ac:dyDescent="0.25">
      <c r="A726" s="12"/>
      <c r="B726" s="2"/>
      <c r="C726" s="3"/>
      <c r="D726" s="4"/>
      <c r="E726" s="16"/>
      <c r="F726" s="2"/>
      <c r="G726" s="5"/>
      <c r="H726" s="6"/>
      <c r="I726" s="7"/>
      <c r="J726" s="10"/>
      <c r="K726" t="str">
        <f>HYPERLINK("http://www8.mpce.mp.br/Empenhos/150501/NE/2024NE000798.pdf","2024NE000798")</f>
        <v>2024NE000798</v>
      </c>
      <c r="L726">
        <v>353.34</v>
      </c>
      <c r="M726" t="s">
        <v>43</v>
      </c>
      <c r="N726">
        <v>22588967000179</v>
      </c>
    </row>
    <row r="727" spans="1:14" x14ac:dyDescent="0.25">
      <c r="A727" s="12"/>
      <c r="B727" s="2"/>
      <c r="C727" s="3"/>
      <c r="D727" s="4"/>
      <c r="E727" s="16"/>
      <c r="F727" s="2"/>
      <c r="G727" s="5"/>
      <c r="H727" s="6"/>
      <c r="I727" s="7"/>
      <c r="J727" s="10"/>
      <c r="K727" t="str">
        <f>HYPERLINK("http://www8.mpce.mp.br/Empenhos/150501/NE/2024NE000799.pdf","2024NE000799")</f>
        <v>2024NE000799</v>
      </c>
      <c r="L727" s="13">
        <v>6807.76</v>
      </c>
      <c r="M727" t="s">
        <v>48</v>
      </c>
      <c r="N727">
        <v>10507664000103</v>
      </c>
    </row>
    <row r="728" spans="1:14" x14ac:dyDescent="0.25">
      <c r="A728" s="12"/>
      <c r="B728" s="2"/>
      <c r="C728" s="3"/>
      <c r="D728" s="4"/>
      <c r="E728" s="16"/>
      <c r="F728" s="2"/>
      <c r="G728" s="5"/>
      <c r="H728" s="6"/>
      <c r="I728" s="7"/>
      <c r="J728" s="10"/>
      <c r="K728" t="str">
        <f>HYPERLINK("http://www8.mpce.mp.br/Empenhos/150501/NE/2024NE000800.pdf","2024NE000800")</f>
        <v>2024NE000800</v>
      </c>
      <c r="L728">
        <v>152.32</v>
      </c>
      <c r="M728" t="s">
        <v>29</v>
      </c>
      <c r="N728">
        <v>5569807000163</v>
      </c>
    </row>
    <row r="729" spans="1:14" x14ac:dyDescent="0.25">
      <c r="A729" s="12"/>
      <c r="B729" s="2"/>
      <c r="C729" s="3"/>
      <c r="D729" s="4"/>
      <c r="E729" s="16"/>
      <c r="F729" s="2"/>
      <c r="G729" s="5"/>
      <c r="H729" s="6"/>
      <c r="I729" s="7"/>
      <c r="J729" s="10"/>
      <c r="K729" t="str">
        <f>HYPERLINK("http://www8.mpce.mp.br/Empenhos/150501/NE/2024NE000801.pdf","2024NE000801")</f>
        <v>2024NE000801</v>
      </c>
      <c r="L729">
        <v>152.32</v>
      </c>
      <c r="M729" t="s">
        <v>29</v>
      </c>
      <c r="N729">
        <v>5569807000163</v>
      </c>
    </row>
    <row r="730" spans="1:14" x14ac:dyDescent="0.25">
      <c r="A730" s="12"/>
      <c r="B730" s="2"/>
      <c r="C730" s="3"/>
      <c r="D730" s="4"/>
      <c r="E730" s="16"/>
      <c r="F730" s="2"/>
      <c r="G730" s="5"/>
      <c r="H730" s="6"/>
      <c r="I730" s="7"/>
      <c r="J730" s="10"/>
      <c r="K730" t="str">
        <f>HYPERLINK("http://www8.mpce.mp.br/Empenhos/150501/NE/2024NE000802.pdf","2024NE000802")</f>
        <v>2024NE000802</v>
      </c>
      <c r="L730" s="13">
        <v>2619.0100000000002</v>
      </c>
      <c r="M730" t="s">
        <v>29</v>
      </c>
      <c r="N730">
        <v>5569807000163</v>
      </c>
    </row>
    <row r="731" spans="1:14" x14ac:dyDescent="0.25">
      <c r="A731" s="12"/>
      <c r="B731" s="2"/>
      <c r="C731" s="3"/>
      <c r="D731" s="4"/>
      <c r="E731" s="16"/>
      <c r="F731" s="2"/>
      <c r="G731" s="5"/>
      <c r="H731" s="6"/>
      <c r="I731" s="7"/>
      <c r="J731" s="10"/>
      <c r="K731" t="str">
        <f>HYPERLINK("http://www8.mpce.mp.br/Empenhos/150501/NE/2024NE000803.pdf","2024NE000803")</f>
        <v>2024NE000803</v>
      </c>
      <c r="L731">
        <v>635.9</v>
      </c>
      <c r="M731" t="s">
        <v>88</v>
      </c>
      <c r="N731">
        <v>18904432391</v>
      </c>
    </row>
    <row r="732" spans="1:14" x14ac:dyDescent="0.25">
      <c r="A732" s="12"/>
      <c r="B732" s="2"/>
      <c r="C732" s="3"/>
      <c r="D732" s="4"/>
      <c r="E732" s="16"/>
      <c r="F732" s="2"/>
      <c r="G732" s="5"/>
      <c r="H732" s="6"/>
      <c r="I732" s="7"/>
      <c r="J732" s="10"/>
      <c r="K732" t="str">
        <f>HYPERLINK("http://www8.mpce.mp.br/Empenhos/150501/NE/2024NE000804.pdf","2024NE000804")</f>
        <v>2024NE000804</v>
      </c>
      <c r="L732" s="13">
        <v>9700</v>
      </c>
      <c r="M732" t="s">
        <v>114</v>
      </c>
      <c r="N732">
        <v>32797434000150</v>
      </c>
    </row>
    <row r="733" spans="1:14" x14ac:dyDescent="0.25">
      <c r="A733" s="12"/>
      <c r="B733" s="2"/>
      <c r="C733" s="3"/>
      <c r="D733" s="4"/>
      <c r="E733" s="16"/>
      <c r="F733" s="2"/>
      <c r="G733" s="5"/>
      <c r="H733" s="6"/>
      <c r="I733" s="7"/>
      <c r="J733" s="10"/>
      <c r="K733" t="str">
        <f>HYPERLINK("http://www8.mpce.mp.br/Empenhos/150501/NE/2024NE000805.pdf","2024NE000805")</f>
        <v>2024NE000805</v>
      </c>
      <c r="L733">
        <v>159.05000000000001</v>
      </c>
      <c r="M733" t="s">
        <v>92</v>
      </c>
      <c r="N733">
        <v>15473585000134</v>
      </c>
    </row>
    <row r="734" spans="1:14" x14ac:dyDescent="0.25">
      <c r="A734" s="12"/>
      <c r="B734" s="2"/>
      <c r="C734" s="3"/>
      <c r="D734" s="4"/>
      <c r="E734" s="16"/>
      <c r="F734" s="2"/>
      <c r="G734" s="5"/>
      <c r="H734" s="6"/>
      <c r="I734" s="7"/>
      <c r="J734" s="10"/>
      <c r="K734" t="str">
        <f>HYPERLINK("http://www8.mpce.mp.br/Empenhos/150501/NE/2024NE000838.pdf","2024NE000838")</f>
        <v>2024NE000838</v>
      </c>
      <c r="L734" s="13">
        <v>58910.97</v>
      </c>
      <c r="M734" t="s">
        <v>29</v>
      </c>
      <c r="N734">
        <v>5569807000163</v>
      </c>
    </row>
    <row r="735" spans="1:14" x14ac:dyDescent="0.25">
      <c r="A735" s="12"/>
      <c r="B735" s="2"/>
      <c r="C735" s="3"/>
      <c r="D735" s="4"/>
      <c r="E735" s="16"/>
      <c r="F735" s="2"/>
      <c r="G735" s="5"/>
      <c r="H735" s="6"/>
      <c r="I735" s="7"/>
      <c r="J735" s="10"/>
      <c r="K735" t="str">
        <f>HYPERLINK("http://www8.mpce.mp.br/Empenhos/150001/NE/2024NE000856.pdf","2024NE000856")</f>
        <v>2024NE000856</v>
      </c>
      <c r="L735" s="13">
        <v>2250</v>
      </c>
      <c r="M735" t="s">
        <v>115</v>
      </c>
      <c r="N735">
        <v>1300487000190</v>
      </c>
    </row>
    <row r="736" spans="1:14" x14ac:dyDescent="0.25">
      <c r="A736" s="12"/>
      <c r="B736" s="2"/>
      <c r="C736" s="3"/>
      <c r="D736" s="4"/>
      <c r="E736" s="17"/>
      <c r="F736" s="2"/>
      <c r="G736" s="5"/>
      <c r="H736" s="6"/>
      <c r="I736" s="7"/>
      <c r="J736" s="10"/>
      <c r="K736" t="str">
        <f>HYPERLINK("http://www8.mpce.mp.br/Empenhos/150501/NE/2024NE000875.pdf","2024NE000875")</f>
        <v>2024NE000875</v>
      </c>
      <c r="L736" s="13">
        <v>36672</v>
      </c>
      <c r="M736" t="s">
        <v>51</v>
      </c>
      <c r="N736">
        <v>3773788000167</v>
      </c>
    </row>
    <row r="737" spans="1:14" x14ac:dyDescent="0.25">
      <c r="A737" s="12"/>
      <c r="B737" s="2"/>
      <c r="C737" s="3"/>
      <c r="D737" s="4"/>
      <c r="E737" s="16"/>
      <c r="F737" s="2"/>
      <c r="G737" s="5"/>
      <c r="H737" s="6"/>
      <c r="I737" s="7"/>
      <c r="J737" s="10"/>
      <c r="K737" t="str">
        <f>HYPERLINK("http://www8.mpce.mp.br/Empenhos/150501/NE/2024NE000875.pdf","2024NE000875")</f>
        <v>2024NE000875</v>
      </c>
      <c r="L737" s="13">
        <v>36672</v>
      </c>
      <c r="M737" t="s">
        <v>51</v>
      </c>
      <c r="N737">
        <v>3773788000167</v>
      </c>
    </row>
    <row r="738" spans="1:14" x14ac:dyDescent="0.25">
      <c r="A738" s="12"/>
      <c r="B738" s="2"/>
      <c r="C738" s="3"/>
      <c r="D738" s="4"/>
      <c r="E738" s="16"/>
      <c r="F738" s="2"/>
      <c r="G738" s="5"/>
      <c r="H738" s="6"/>
      <c r="I738" s="7"/>
      <c r="J738" s="10"/>
      <c r="K738" t="str">
        <f>HYPERLINK("http://www8.mpce.mp.br/Empenhos/150501/NE/2024NE000875.pdf","2024NE000875")</f>
        <v>2024NE000875</v>
      </c>
      <c r="L738" s="13">
        <v>36672</v>
      </c>
      <c r="M738" t="s">
        <v>51</v>
      </c>
      <c r="N738">
        <v>3773788000167</v>
      </c>
    </row>
    <row r="739" spans="1:14" x14ac:dyDescent="0.25">
      <c r="A739" s="12"/>
      <c r="B739" s="2"/>
      <c r="C739" s="3"/>
      <c r="D739" s="4"/>
      <c r="E739" s="16"/>
      <c r="F739" s="2"/>
      <c r="G739" s="5"/>
      <c r="H739" s="6"/>
      <c r="I739" s="7"/>
      <c r="J739" s="10"/>
      <c r="K739" t="str">
        <f>HYPERLINK("http://www8.mpce.mp.br/Empenhos/150501/NE/2024NE000875.pdf","2024NE000875")</f>
        <v>2024NE000875</v>
      </c>
      <c r="L739" s="13">
        <v>36672</v>
      </c>
      <c r="M739" t="s">
        <v>51</v>
      </c>
      <c r="N739">
        <v>3773788000167</v>
      </c>
    </row>
    <row r="740" spans="1:14" x14ac:dyDescent="0.25">
      <c r="A740" s="12"/>
      <c r="B740" s="2"/>
      <c r="C740" s="3"/>
      <c r="D740" s="4"/>
      <c r="E740" s="16"/>
      <c r="F740" s="2"/>
      <c r="G740" s="5"/>
      <c r="H740" s="6"/>
      <c r="I740" s="7"/>
      <c r="J740" s="10"/>
      <c r="K740" t="str">
        <f>HYPERLINK("http://www8.mpce.mp.br/Empenhos/150501/NE/2024NE000877.pdf","2024NE000877")</f>
        <v>2024NE000877</v>
      </c>
      <c r="L740" s="13">
        <v>162760</v>
      </c>
      <c r="M740" t="s">
        <v>35</v>
      </c>
      <c r="N740">
        <v>8918421000108</v>
      </c>
    </row>
    <row r="741" spans="1:14" x14ac:dyDescent="0.25">
      <c r="A741" s="12"/>
      <c r="B741" s="2"/>
      <c r="C741" s="3"/>
      <c r="D741" s="4"/>
      <c r="E741" s="16"/>
      <c r="F741" s="2"/>
      <c r="G741" s="5"/>
      <c r="H741" s="6"/>
      <c r="I741" s="7"/>
      <c r="J741" s="10"/>
      <c r="K741" t="str">
        <f>HYPERLINK("http://www8.mpce.mp.br/Empenhos/150501/NE/2024NE000893.pdf","2024NE000893")</f>
        <v>2024NE000893</v>
      </c>
      <c r="L741" s="13">
        <v>122950.65</v>
      </c>
      <c r="M741" t="s">
        <v>51</v>
      </c>
      <c r="N741">
        <v>3773788000167</v>
      </c>
    </row>
    <row r="742" spans="1:14" x14ac:dyDescent="0.25">
      <c r="A742" s="12"/>
      <c r="B742" s="2"/>
      <c r="C742" s="3"/>
      <c r="D742" s="4"/>
      <c r="E742" s="16"/>
      <c r="F742" s="2"/>
      <c r="G742" s="5"/>
      <c r="H742" s="6"/>
      <c r="I742" s="7"/>
      <c r="J742" s="10"/>
      <c r="K742" t="str">
        <f>HYPERLINK("http://www8.mpce.mp.br/Empenhos/150501/NE/2024NE000895.pdf","2024NE000895")</f>
        <v>2024NE000895</v>
      </c>
      <c r="L742" s="13">
        <v>2619.0100000000002</v>
      </c>
      <c r="M742" t="s">
        <v>29</v>
      </c>
      <c r="N742">
        <v>5569807000163</v>
      </c>
    </row>
    <row r="743" spans="1:14" x14ac:dyDescent="0.25">
      <c r="A743" s="12"/>
      <c r="B743" s="2"/>
      <c r="C743" s="3"/>
      <c r="D743" s="4"/>
      <c r="E743" s="16"/>
      <c r="F743" s="2"/>
      <c r="G743" s="5"/>
      <c r="H743" s="6"/>
      <c r="I743" s="7"/>
      <c r="J743" s="10"/>
      <c r="K743" t="str">
        <f>HYPERLINK("http://www8.mpce.mp.br/Empenhos/150501/NE/2024NE000899.pdf","2024NE000899")</f>
        <v>2024NE000899</v>
      </c>
      <c r="L743" s="13">
        <v>35472</v>
      </c>
      <c r="M743" t="s">
        <v>35</v>
      </c>
      <c r="N743">
        <v>8918421000108</v>
      </c>
    </row>
    <row r="744" spans="1:14" x14ac:dyDescent="0.25">
      <c r="A744"/>
      <c r="B744"/>
      <c r="I744"/>
      <c r="J744"/>
      <c r="K744" t="str">
        <f>HYPERLINK("http://www8.mpce.mp.br/Empenhos/150501/NE/2024NE000911.pdf","2024NE000911")</f>
        <v>2024NE000911</v>
      </c>
      <c r="L744" s="13">
        <v>1914.39</v>
      </c>
      <c r="M744" t="s">
        <v>27</v>
      </c>
      <c r="N744">
        <v>22705562000173</v>
      </c>
    </row>
    <row r="745" spans="1:14" x14ac:dyDescent="0.25">
      <c r="A745"/>
      <c r="B745"/>
      <c r="I745"/>
      <c r="J745"/>
      <c r="K745" t="str">
        <f>HYPERLINK("http://www8.mpce.mp.br/Empenhos/150001/NE/2024NE000942.pdf","2024NE000942")</f>
        <v>2024NE000942</v>
      </c>
      <c r="L745" s="13">
        <v>33000</v>
      </c>
      <c r="M745" t="s">
        <v>103</v>
      </c>
      <c r="N745">
        <v>51871404000191</v>
      </c>
    </row>
    <row r="746" spans="1:14" x14ac:dyDescent="0.25">
      <c r="A746"/>
      <c r="B746"/>
      <c r="I746"/>
      <c r="J746"/>
      <c r="K746" t="str">
        <f>HYPERLINK("http://www8.mpce.mp.br/Empenhos/150001/NE/2024NE000947.pdf","2024NE000947")</f>
        <v>2024NE000947</v>
      </c>
      <c r="L746" s="13">
        <v>8270</v>
      </c>
      <c r="M746" t="s">
        <v>116</v>
      </c>
      <c r="N746">
        <v>41789816000123</v>
      </c>
    </row>
    <row r="747" spans="1:14" x14ac:dyDescent="0.25">
      <c r="A747"/>
      <c r="B747"/>
      <c r="I747"/>
      <c r="J747"/>
      <c r="K747" t="str">
        <f>HYPERLINK("http://www8.mpce.mp.br/Empenhos/150501/NE/2024NE000956.pdf","2024NE000956")</f>
        <v>2024NE000956</v>
      </c>
      <c r="L747">
        <v>273.79000000000002</v>
      </c>
      <c r="M747" t="s">
        <v>58</v>
      </c>
      <c r="N747">
        <v>33065699000127</v>
      </c>
    </row>
    <row r="748" spans="1:14" x14ac:dyDescent="0.25">
      <c r="A748"/>
      <c r="B748"/>
      <c r="I748"/>
      <c r="J748"/>
      <c r="K748" t="str">
        <f>HYPERLINK("http://www8.mpce.mp.br/Empenhos/150501/NE/2024NE000958.pdf","2024NE000958")</f>
        <v>2024NE000958</v>
      </c>
      <c r="L748">
        <v>152</v>
      </c>
      <c r="M748" t="s">
        <v>58</v>
      </c>
      <c r="N748">
        <v>33065699000127</v>
      </c>
    </row>
    <row r="749" spans="1:14" x14ac:dyDescent="0.25">
      <c r="A749"/>
      <c r="B749"/>
      <c r="I749"/>
      <c r="J749"/>
      <c r="K749" t="str">
        <f>HYPERLINK("http://www8.mpce.mp.br/Empenhos/150501/NE/2024NE000959.pdf","2024NE000959")</f>
        <v>2024NE000959</v>
      </c>
      <c r="L749" s="13">
        <v>2843.45</v>
      </c>
      <c r="M749" t="s">
        <v>24</v>
      </c>
      <c r="N749">
        <v>7936046000166</v>
      </c>
    </row>
    <row r="750" spans="1:14" x14ac:dyDescent="0.25">
      <c r="A750"/>
      <c r="B750"/>
      <c r="I750"/>
      <c r="J750"/>
      <c r="K750" t="str">
        <f>HYPERLINK("http://www8.mpce.mp.br/Empenhos/150501/NE/2024NE000965.pdf","2024NE000965")</f>
        <v>2024NE000965</v>
      </c>
      <c r="L750" s="13">
        <v>66161.41</v>
      </c>
      <c r="M750" t="s">
        <v>20</v>
      </c>
      <c r="N750">
        <v>11710431000168</v>
      </c>
    </row>
    <row r="751" spans="1:14" x14ac:dyDescent="0.25">
      <c r="A751"/>
      <c r="B751"/>
      <c r="I751"/>
      <c r="J751"/>
      <c r="K751" t="str">
        <f>HYPERLINK("http://www8.mpce.mp.br/Empenhos/150501/NE/2024NE000966.pdf","2024NE000966")</f>
        <v>2024NE000966</v>
      </c>
      <c r="L751" s="13">
        <v>26000.1</v>
      </c>
      <c r="M751" t="s">
        <v>21</v>
      </c>
      <c r="N751">
        <v>44114554000195</v>
      </c>
    </row>
    <row r="752" spans="1:14" x14ac:dyDescent="0.25">
      <c r="A752"/>
      <c r="B752"/>
      <c r="I752"/>
      <c r="J752"/>
      <c r="K752" t="str">
        <f>HYPERLINK("http://www8.mpce.mp.br/Empenhos/150501/NE/2024NE000967.pdf","2024NE000967")</f>
        <v>2024NE000967</v>
      </c>
      <c r="L752" s="13">
        <v>26000</v>
      </c>
      <c r="M752" t="s">
        <v>22</v>
      </c>
      <c r="N752">
        <v>14763826000117</v>
      </c>
    </row>
    <row r="753" spans="1:14" x14ac:dyDescent="0.25">
      <c r="A753"/>
      <c r="B753"/>
      <c r="I753"/>
      <c r="J753"/>
      <c r="K753" t="str">
        <f>HYPERLINK("http://www8.mpce.mp.br/Empenhos/150501/NE/2024NE000968.pdf","2024NE000968")</f>
        <v>2024NE000968</v>
      </c>
      <c r="L753" s="13">
        <v>16434.259999999998</v>
      </c>
      <c r="M753" t="s">
        <v>20</v>
      </c>
      <c r="N753">
        <v>11710431000168</v>
      </c>
    </row>
    <row r="754" spans="1:14" x14ac:dyDescent="0.25">
      <c r="A754"/>
      <c r="B754"/>
      <c r="I754"/>
      <c r="J754"/>
      <c r="K754" t="str">
        <f>HYPERLINK("http://www8.mpce.mp.br/Empenhos/150501/NE/2024NE000971.pdf","2024NE000971")</f>
        <v>2024NE000971</v>
      </c>
      <c r="L754" s="13">
        <v>20900</v>
      </c>
      <c r="M754" t="s">
        <v>23</v>
      </c>
      <c r="N754">
        <v>32697604000125</v>
      </c>
    </row>
    <row r="755" spans="1:14" x14ac:dyDescent="0.25">
      <c r="A755"/>
      <c r="B755"/>
      <c r="I755"/>
      <c r="J755"/>
      <c r="K755" t="str">
        <f>HYPERLINK("http://www8.mpce.mp.br/Empenhos/150501/NE/2024NE000972.pdf","2024NE000972")</f>
        <v>2024NE000972</v>
      </c>
      <c r="L755" s="13">
        <v>18465</v>
      </c>
      <c r="M755" t="s">
        <v>24</v>
      </c>
      <c r="N755">
        <v>7936046000166</v>
      </c>
    </row>
    <row r="756" spans="1:14" x14ac:dyDescent="0.25">
      <c r="A756"/>
      <c r="B756"/>
      <c r="I756"/>
      <c r="J756"/>
      <c r="K756" t="str">
        <f>HYPERLINK("http://www8.mpce.mp.br/Empenhos/150501/NE/2024NE000973.pdf","2024NE000973")</f>
        <v>2024NE000973</v>
      </c>
      <c r="L756" s="13">
        <v>18900</v>
      </c>
      <c r="M756" t="s">
        <v>23</v>
      </c>
      <c r="N756">
        <v>32697604000125</v>
      </c>
    </row>
    <row r="757" spans="1:14" x14ac:dyDescent="0.25">
      <c r="A757"/>
      <c r="B757"/>
      <c r="I757"/>
      <c r="J757"/>
      <c r="K757" t="str">
        <f>HYPERLINK("http://www8.mpce.mp.br/Empenhos/150501/NE/2024NE000974.pdf","2024NE000974")</f>
        <v>2024NE000974</v>
      </c>
      <c r="L757" s="13">
        <v>13486.5</v>
      </c>
      <c r="M757" t="s">
        <v>25</v>
      </c>
      <c r="N757">
        <v>53820857000114</v>
      </c>
    </row>
    <row r="758" spans="1:14" x14ac:dyDescent="0.25">
      <c r="A758"/>
      <c r="B758"/>
      <c r="I758"/>
      <c r="J758"/>
      <c r="K758" t="str">
        <f>HYPERLINK("http://www8.mpce.mp.br/Empenhos/150501/NE/2024NE000975.pdf","2024NE000975")</f>
        <v>2024NE000975</v>
      </c>
      <c r="L758" s="13">
        <v>18000</v>
      </c>
      <c r="M758" t="s">
        <v>26</v>
      </c>
      <c r="N758">
        <v>41456187000110</v>
      </c>
    </row>
    <row r="759" spans="1:14" x14ac:dyDescent="0.25">
      <c r="A759"/>
      <c r="B759"/>
      <c r="I759"/>
      <c r="J759"/>
      <c r="K759" t="str">
        <f>HYPERLINK("http://www8.mpce.mp.br/Empenhos/150501/NE/2024NE000976.pdf","2024NE000976")</f>
        <v>2024NE000976</v>
      </c>
      <c r="L759" s="13">
        <v>33400.11</v>
      </c>
      <c r="M759" t="s">
        <v>21</v>
      </c>
      <c r="N759">
        <v>44114554000195</v>
      </c>
    </row>
    <row r="760" spans="1:14" x14ac:dyDescent="0.25">
      <c r="A760"/>
      <c r="B760"/>
      <c r="I760"/>
      <c r="J760"/>
      <c r="K760" t="str">
        <f>HYPERLINK("http://www8.mpce.mp.br/Empenhos/150001/NE/2024NE000976.pdf","2024NE000976")</f>
        <v>2024NE000976</v>
      </c>
      <c r="L760" s="13">
        <v>3190</v>
      </c>
      <c r="M760" t="s">
        <v>100</v>
      </c>
      <c r="N760">
        <v>10498974000109</v>
      </c>
    </row>
    <row r="761" spans="1:14" x14ac:dyDescent="0.25">
      <c r="A761"/>
      <c r="B761"/>
      <c r="I761"/>
      <c r="J761"/>
      <c r="K761" t="str">
        <f>HYPERLINK("http://www8.mpce.mp.br/Empenhos/150501/NE/2024NE000977.pdf","2024NE000977")</f>
        <v>2024NE000977</v>
      </c>
      <c r="L761" s="13">
        <v>47253.13</v>
      </c>
      <c r="M761" t="s">
        <v>27</v>
      </c>
      <c r="N761">
        <v>22705562000173</v>
      </c>
    </row>
    <row r="762" spans="1:14" x14ac:dyDescent="0.25">
      <c r="A762"/>
      <c r="B762"/>
      <c r="I762"/>
      <c r="J762"/>
      <c r="K762" t="str">
        <f>HYPERLINK("http://www8.mpce.mp.br/Empenhos/150501/NE/2024NE000978.pdf","2024NE000978")</f>
        <v>2024NE000978</v>
      </c>
      <c r="L762" s="13">
        <v>58910.97</v>
      </c>
      <c r="M762" t="s">
        <v>29</v>
      </c>
      <c r="N762">
        <v>5569807000163</v>
      </c>
    </row>
    <row r="763" spans="1:14" x14ac:dyDescent="0.25">
      <c r="A763"/>
      <c r="B763"/>
      <c r="I763"/>
      <c r="J763"/>
      <c r="K763" t="str">
        <f>HYPERLINK("http://www8.mpce.mp.br/Empenhos/150501/NE/2024NE000979.pdf","2024NE000979")</f>
        <v>2024NE000979</v>
      </c>
      <c r="L763" s="13">
        <v>5600</v>
      </c>
      <c r="M763" t="s">
        <v>28</v>
      </c>
      <c r="N763">
        <v>12255352000177</v>
      </c>
    </row>
    <row r="764" spans="1:14" x14ac:dyDescent="0.25">
      <c r="A764"/>
      <c r="B764"/>
      <c r="I764"/>
      <c r="J764"/>
      <c r="K764" t="str">
        <f>HYPERLINK("http://www8.mpce.mp.br/Empenhos/150501/NE/2024NE000980.pdf","2024NE000980")</f>
        <v>2024NE000980</v>
      </c>
      <c r="L764" s="13">
        <v>22143.48</v>
      </c>
      <c r="M764" t="s">
        <v>30</v>
      </c>
      <c r="N764">
        <v>10508750000122</v>
      </c>
    </row>
    <row r="765" spans="1:14" x14ac:dyDescent="0.25">
      <c r="A765"/>
      <c r="B765"/>
      <c r="I765"/>
      <c r="J765"/>
      <c r="K765" t="str">
        <f>HYPERLINK("http://www8.mpce.mp.br/Empenhos/150501/NE/2024NE000981.pdf","2024NE000981")</f>
        <v>2024NE000981</v>
      </c>
      <c r="L765">
        <v>680.03</v>
      </c>
      <c r="M765" t="s">
        <v>99</v>
      </c>
      <c r="N765">
        <v>20941439372</v>
      </c>
    </row>
    <row r="766" spans="1:14" x14ac:dyDescent="0.25">
      <c r="A766"/>
      <c r="B766"/>
      <c r="I766"/>
      <c r="J766"/>
      <c r="K766" t="str">
        <f>HYPERLINK("http://www8.mpce.mp.br/Empenhos/150501/NE/2024NE000982.pdf","2024NE000982")</f>
        <v>2024NE000982</v>
      </c>
      <c r="L766" s="13">
        <v>22000</v>
      </c>
      <c r="M766" t="s">
        <v>30</v>
      </c>
      <c r="N766">
        <v>10508750000122</v>
      </c>
    </row>
    <row r="767" spans="1:14" x14ac:dyDescent="0.25">
      <c r="A767"/>
      <c r="B767"/>
      <c r="I767"/>
      <c r="J767"/>
      <c r="K767" t="str">
        <f>HYPERLINK("http://www8.mpce.mp.br/Empenhos/150501/NE/2024NE000983.pdf","2024NE000983")</f>
        <v>2024NE000983</v>
      </c>
      <c r="L767" s="13">
        <v>13200</v>
      </c>
      <c r="M767" t="s">
        <v>55</v>
      </c>
      <c r="N767">
        <v>44231385000173</v>
      </c>
    </row>
    <row r="768" spans="1:14" x14ac:dyDescent="0.25">
      <c r="A768"/>
      <c r="B768"/>
      <c r="I768"/>
      <c r="J768"/>
      <c r="K768" t="str">
        <f>HYPERLINK("http://www8.mpce.mp.br/Empenhos/150501/NE/2024NE000984.pdf","2024NE000984")</f>
        <v>2024NE000984</v>
      </c>
      <c r="L768" s="13">
        <v>18000</v>
      </c>
      <c r="M768" t="s">
        <v>79</v>
      </c>
      <c r="N768">
        <v>48444032000102</v>
      </c>
    </row>
    <row r="769" spans="1:14" x14ac:dyDescent="0.25">
      <c r="A769"/>
      <c r="B769"/>
      <c r="I769"/>
      <c r="J769"/>
      <c r="K769" t="str">
        <f>HYPERLINK("http://www8.mpce.mp.br/Empenhos/150501/NE/2024NE000985.pdf","2024NE000985")</f>
        <v>2024NE000985</v>
      </c>
      <c r="L769" s="13">
        <v>13612</v>
      </c>
      <c r="M769" t="s">
        <v>23</v>
      </c>
      <c r="N769">
        <v>32697604000125</v>
      </c>
    </row>
    <row r="770" spans="1:14" x14ac:dyDescent="0.25">
      <c r="A770"/>
      <c r="B770"/>
      <c r="I770"/>
      <c r="J770"/>
      <c r="K770" t="str">
        <f>HYPERLINK("http://www8.mpce.mp.br/Empenhos/150501/NE/2024NE000986.pdf","2024NE000986")</f>
        <v>2024NE000986</v>
      </c>
      <c r="L770" s="13">
        <v>14180</v>
      </c>
      <c r="M770" t="s">
        <v>23</v>
      </c>
      <c r="N770">
        <v>32697604000125</v>
      </c>
    </row>
    <row r="771" spans="1:14" x14ac:dyDescent="0.25">
      <c r="A771"/>
      <c r="B771"/>
      <c r="I771"/>
      <c r="J771"/>
      <c r="K771" t="str">
        <f>HYPERLINK("http://www8.mpce.mp.br/Empenhos/150501/NE/2024NE000987.pdf","2024NE000987")</f>
        <v>2024NE000987</v>
      </c>
      <c r="L771" s="13">
        <v>14000</v>
      </c>
      <c r="M771" t="s">
        <v>101</v>
      </c>
      <c r="N771">
        <v>29417319000107</v>
      </c>
    </row>
    <row r="772" spans="1:14" x14ac:dyDescent="0.25">
      <c r="A772"/>
      <c r="B772"/>
      <c r="I772"/>
      <c r="J772"/>
      <c r="K772" t="str">
        <f>HYPERLINK("http://www8.mpce.mp.br/Empenhos/150501/NE/2024NE000988.pdf","2024NE000988")</f>
        <v>2024NE000988</v>
      </c>
      <c r="L772" s="13">
        <v>2188.0100000000002</v>
      </c>
      <c r="M772" t="s">
        <v>95</v>
      </c>
      <c r="N772">
        <v>49090674349</v>
      </c>
    </row>
    <row r="773" spans="1:14" x14ac:dyDescent="0.25">
      <c r="A773"/>
      <c r="B773"/>
      <c r="I773"/>
      <c r="J773"/>
      <c r="K773" t="str">
        <f>HYPERLINK("http://www8.mpce.mp.br/Empenhos/150501/NE/2024NE001002.pdf","2024NE001002")</f>
        <v>2024NE001002</v>
      </c>
      <c r="L773" s="13">
        <v>2935.71</v>
      </c>
      <c r="M773" t="s">
        <v>98</v>
      </c>
      <c r="N773">
        <v>77748638349</v>
      </c>
    </row>
    <row r="774" spans="1:14" x14ac:dyDescent="0.25">
      <c r="A774"/>
      <c r="B774"/>
      <c r="I774"/>
      <c r="J774"/>
      <c r="K774" t="str">
        <f>HYPERLINK("http://www8.mpce.mp.br/Empenhos/150501/NE/2024NE001027.pdf","2024NE001027")</f>
        <v>2024NE001027</v>
      </c>
      <c r="L774" s="13">
        <v>8150.28</v>
      </c>
      <c r="M774" t="s">
        <v>62</v>
      </c>
      <c r="N774">
        <v>2144832315</v>
      </c>
    </row>
    <row r="775" spans="1:14" x14ac:dyDescent="0.25">
      <c r="A775"/>
      <c r="B775"/>
      <c r="I775"/>
      <c r="J775"/>
      <c r="K775" t="str">
        <f>HYPERLINK("http://www8.mpce.mp.br/Empenhos/150501/NE/2024NE001028.pdf","2024NE001028")</f>
        <v>2024NE001028</v>
      </c>
      <c r="L775" s="13">
        <v>4341.5600000000004</v>
      </c>
      <c r="M775" t="s">
        <v>88</v>
      </c>
      <c r="N775">
        <v>18904432391</v>
      </c>
    </row>
    <row r="776" spans="1:14" x14ac:dyDescent="0.25">
      <c r="A776"/>
      <c r="B776"/>
      <c r="I776"/>
      <c r="J776"/>
      <c r="K776" t="str">
        <f>HYPERLINK("http://www8.mpce.mp.br/Empenhos/150501/NE/2024NE001029.pdf","2024NE001029")</f>
        <v>2024NE001029</v>
      </c>
      <c r="L776" s="13">
        <v>1431.35</v>
      </c>
      <c r="M776" t="s">
        <v>92</v>
      </c>
      <c r="N776">
        <v>15473585000134</v>
      </c>
    </row>
    <row r="777" spans="1:14" x14ac:dyDescent="0.25">
      <c r="A777"/>
      <c r="B777"/>
      <c r="I777"/>
      <c r="J777"/>
      <c r="K777" t="str">
        <f>HYPERLINK("http://www8.mpce.mp.br/Empenhos/150501/NE/2024NE001030.pdf","2024NE001030")</f>
        <v>2024NE001030</v>
      </c>
      <c r="L777" s="13">
        <v>2341.9699999999998</v>
      </c>
      <c r="M777" t="s">
        <v>86</v>
      </c>
      <c r="N777">
        <v>46950052391</v>
      </c>
    </row>
    <row r="778" spans="1:14" x14ac:dyDescent="0.25">
      <c r="A778"/>
      <c r="B778"/>
      <c r="I778"/>
      <c r="J778"/>
      <c r="K778" t="str">
        <f>HYPERLINK("http://www8.mpce.mp.br/Empenhos/150501/NE/2024NE001031.pdf","2024NE001031")</f>
        <v>2024NE001031</v>
      </c>
      <c r="L778" s="13">
        <v>5400</v>
      </c>
      <c r="M778" t="s">
        <v>94</v>
      </c>
      <c r="N778">
        <v>33457311000133</v>
      </c>
    </row>
    <row r="779" spans="1:14" x14ac:dyDescent="0.25">
      <c r="A779"/>
      <c r="B779"/>
      <c r="I779"/>
      <c r="J779"/>
      <c r="K779" t="str">
        <f>HYPERLINK("http://www8.mpce.mp.br/Empenhos/150501/NE/2024NE001032.pdf","2024NE001032")</f>
        <v>2024NE001032</v>
      </c>
      <c r="L779" s="13">
        <v>3403.88</v>
      </c>
      <c r="M779" t="s">
        <v>48</v>
      </c>
      <c r="N779">
        <v>10507664000103</v>
      </c>
    </row>
    <row r="780" spans="1:14" x14ac:dyDescent="0.25">
      <c r="A780"/>
      <c r="B780"/>
      <c r="I780"/>
      <c r="J780"/>
      <c r="K780" t="str">
        <f>HYPERLINK("http://www8.mpce.mp.br/Empenhos/150501/NE/2024NE001033.pdf","2024NE001033")</f>
        <v>2024NE001033</v>
      </c>
      <c r="L780" s="13">
        <v>1200</v>
      </c>
      <c r="M780" t="s">
        <v>44</v>
      </c>
      <c r="N780">
        <v>31014895391</v>
      </c>
    </row>
    <row r="781" spans="1:14" x14ac:dyDescent="0.25">
      <c r="A781"/>
      <c r="B781"/>
      <c r="I781"/>
      <c r="J781"/>
      <c r="K781" t="str">
        <f>HYPERLINK("http://www8.mpce.mp.br/Empenhos/150501/NE/2024NE001035.pdf","2024NE001035")</f>
        <v>2024NE001035</v>
      </c>
      <c r="L781">
        <v>152.32</v>
      </c>
      <c r="M781" t="s">
        <v>29</v>
      </c>
      <c r="N781">
        <v>5569807000163</v>
      </c>
    </row>
    <row r="782" spans="1:14" x14ac:dyDescent="0.25">
      <c r="A782"/>
      <c r="B782"/>
      <c r="I782"/>
      <c r="J782"/>
      <c r="K782" t="str">
        <f>HYPERLINK("http://www8.mpce.mp.br/Empenhos/150501/NE/2024NE001036.pdf","2024NE001036")</f>
        <v>2024NE001036</v>
      </c>
      <c r="L782" s="13">
        <v>2619.0100000000002</v>
      </c>
      <c r="M782" t="s">
        <v>29</v>
      </c>
      <c r="N782">
        <v>5569807000163</v>
      </c>
    </row>
    <row r="783" spans="1:14" x14ac:dyDescent="0.25">
      <c r="A783"/>
      <c r="B783"/>
      <c r="I783"/>
      <c r="J783"/>
      <c r="K783" t="str">
        <f>HYPERLINK("http://www8.mpce.mp.br/Empenhos/150501/NE/2024NE001037.pdf","2024NE001037")</f>
        <v>2024NE001037</v>
      </c>
      <c r="L783" s="13">
        <v>3897.24</v>
      </c>
      <c r="M783" t="s">
        <v>49</v>
      </c>
      <c r="N783">
        <v>1728735335</v>
      </c>
    </row>
    <row r="784" spans="1:14" x14ac:dyDescent="0.25">
      <c r="A784"/>
      <c r="B784"/>
      <c r="I784"/>
      <c r="J784"/>
      <c r="K784" t="str">
        <f>HYPERLINK("http://www8.mpce.mp.br/Empenhos/150501/NE/2024NE001039.pdf","2024NE001039")</f>
        <v>2024NE001039</v>
      </c>
      <c r="L784" s="13">
        <v>2000</v>
      </c>
      <c r="M784" t="s">
        <v>47</v>
      </c>
      <c r="N784">
        <v>78214130387</v>
      </c>
    </row>
    <row r="785" spans="1:14" x14ac:dyDescent="0.25">
      <c r="A785"/>
      <c r="B785"/>
      <c r="I785"/>
      <c r="J785"/>
      <c r="K785" t="str">
        <f>HYPERLINK("http://www8.mpce.mp.br/Empenhos/150501/NE/2024NE001043.pdf","2024NE001043")</f>
        <v>2024NE001043</v>
      </c>
      <c r="L785" s="13">
        <v>1500</v>
      </c>
      <c r="M785" t="s">
        <v>32</v>
      </c>
      <c r="N785">
        <v>91495059391</v>
      </c>
    </row>
    <row r="786" spans="1:14" x14ac:dyDescent="0.25">
      <c r="A786"/>
      <c r="B786"/>
      <c r="I786"/>
      <c r="J786"/>
      <c r="K786" t="str">
        <f>HYPERLINK("http://www8.mpce.mp.br/Empenhos/150501/NE/2024NE001044.pdf","2024NE001044")</f>
        <v>2024NE001044</v>
      </c>
      <c r="L786" s="13">
        <v>2000</v>
      </c>
      <c r="M786" t="s">
        <v>34</v>
      </c>
      <c r="N786">
        <v>7021062320</v>
      </c>
    </row>
    <row r="787" spans="1:14" x14ac:dyDescent="0.25">
      <c r="A787"/>
      <c r="B787"/>
      <c r="I787"/>
      <c r="J787"/>
      <c r="K787" t="str">
        <f>HYPERLINK("http://www8.mpce.mp.br/Empenhos/150501/NE/2024NE001045.pdf","2024NE001045")</f>
        <v>2024NE001045</v>
      </c>
      <c r="L787" s="13">
        <v>14907.85</v>
      </c>
      <c r="M787" t="s">
        <v>35</v>
      </c>
      <c r="N787">
        <v>8918421000108</v>
      </c>
    </row>
    <row r="788" spans="1:14" x14ac:dyDescent="0.25">
      <c r="A788"/>
      <c r="B788"/>
      <c r="I788"/>
      <c r="J788"/>
      <c r="K788" t="str">
        <f>HYPERLINK("http://www8.mpce.mp.br/Empenhos/150501/NE/2024NE001046.pdf","2024NE001046")</f>
        <v>2024NE001046</v>
      </c>
      <c r="L788" s="13">
        <v>14907.85</v>
      </c>
      <c r="M788" t="s">
        <v>35</v>
      </c>
      <c r="N788">
        <v>8918421000108</v>
      </c>
    </row>
    <row r="789" spans="1:14" x14ac:dyDescent="0.25">
      <c r="A789"/>
      <c r="B789"/>
      <c r="I789"/>
      <c r="J789"/>
      <c r="K789" t="str">
        <f>HYPERLINK("http://www8.mpce.mp.br/Empenhos/150501/NE/2024NE001047.pdf","2024NE001047")</f>
        <v>2024NE001047</v>
      </c>
      <c r="L789" s="13">
        <v>4000</v>
      </c>
      <c r="M789" t="s">
        <v>42</v>
      </c>
      <c r="N789">
        <v>19678451824</v>
      </c>
    </row>
    <row r="790" spans="1:14" x14ac:dyDescent="0.25">
      <c r="A790"/>
      <c r="B790"/>
      <c r="I790"/>
      <c r="J790"/>
      <c r="K790" t="str">
        <f>HYPERLINK("http://www8.mpce.mp.br/Empenhos/150501/NE/2024NE001048.pdf","2024NE001048")</f>
        <v>2024NE001048</v>
      </c>
      <c r="L790" s="13">
        <v>1306.7</v>
      </c>
      <c r="M790" t="s">
        <v>41</v>
      </c>
      <c r="N790">
        <v>43713017387</v>
      </c>
    </row>
    <row r="791" spans="1:14" x14ac:dyDescent="0.25">
      <c r="A791"/>
      <c r="B791"/>
      <c r="I791"/>
      <c r="J791"/>
      <c r="K791" t="str">
        <f>HYPERLINK("http://www8.mpce.mp.br/Empenhos/150501/NE/2024NE001049.pdf","2024NE001049")</f>
        <v>2024NE001049</v>
      </c>
      <c r="L791" s="13">
        <v>1651.15</v>
      </c>
      <c r="M791" t="s">
        <v>40</v>
      </c>
      <c r="N791">
        <v>50937197300</v>
      </c>
    </row>
    <row r="792" spans="1:14" x14ac:dyDescent="0.25">
      <c r="A792"/>
      <c r="B792"/>
      <c r="I792"/>
      <c r="J792"/>
      <c r="K792" t="str">
        <f>HYPERLINK("http://www8.mpce.mp.br/Empenhos/150501/NE/2024NE001056.pdf","2024NE001056")</f>
        <v>2024NE001056</v>
      </c>
      <c r="L792" s="13">
        <v>1224.8599999999999</v>
      </c>
      <c r="M792" t="s">
        <v>117</v>
      </c>
      <c r="N792">
        <v>66582784000111</v>
      </c>
    </row>
    <row r="793" spans="1:14" x14ac:dyDescent="0.25">
      <c r="A793"/>
      <c r="B793"/>
      <c r="I793"/>
      <c r="J793"/>
      <c r="K793" t="str">
        <f>HYPERLINK("http://www8.mpce.mp.br/Empenhos/150501/NE/2024NE001063.pdf","2024NE001063")</f>
        <v>2024NE001063</v>
      </c>
      <c r="L793" s="13">
        <v>35718.5</v>
      </c>
      <c r="M793" t="s">
        <v>51</v>
      </c>
      <c r="N793">
        <v>3773788000167</v>
      </c>
    </row>
    <row r="794" spans="1:14" x14ac:dyDescent="0.25">
      <c r="A794"/>
      <c r="B794"/>
      <c r="I794"/>
      <c r="J794"/>
      <c r="K794" t="str">
        <f>HYPERLINK("http://www8.mpce.mp.br/Empenhos/150501/NE/2024NE001063.pdf","2024NE001063")</f>
        <v>2024NE001063</v>
      </c>
      <c r="L794" s="13">
        <v>35718.5</v>
      </c>
      <c r="M794" t="s">
        <v>51</v>
      </c>
      <c r="N794">
        <v>3773788000167</v>
      </c>
    </row>
    <row r="795" spans="1:14" x14ac:dyDescent="0.25">
      <c r="A795"/>
      <c r="B795"/>
      <c r="I795"/>
      <c r="J795"/>
      <c r="K795" t="str">
        <f>HYPERLINK("http://www8.mpce.mp.br/Empenhos/150501/NE/2024NE001063.pdf","2024NE001063")</f>
        <v>2024NE001063</v>
      </c>
      <c r="L795" s="13">
        <v>35718.5</v>
      </c>
      <c r="M795" t="s">
        <v>51</v>
      </c>
      <c r="N795">
        <v>3773788000167</v>
      </c>
    </row>
    <row r="796" spans="1:14" x14ac:dyDescent="0.25">
      <c r="A796"/>
      <c r="B796"/>
      <c r="I796"/>
      <c r="J796"/>
      <c r="K796" t="str">
        <f>HYPERLINK("http://www8.mpce.mp.br/Empenhos/150501/NE/2024NE001063.pdf","2024NE001063")</f>
        <v>2024NE001063</v>
      </c>
      <c r="L796" s="13">
        <v>35718.5</v>
      </c>
      <c r="M796" t="s">
        <v>51</v>
      </c>
      <c r="N796">
        <v>3773788000167</v>
      </c>
    </row>
    <row r="797" spans="1:14" x14ac:dyDescent="0.25">
      <c r="A797"/>
      <c r="B797"/>
      <c r="I797"/>
      <c r="J797"/>
      <c r="K797" t="str">
        <f>HYPERLINK("http://www8.mpce.mp.br/Empenhos/150501/NE/2024NE001067.pdf","2024NE001067")</f>
        <v>2024NE001067</v>
      </c>
      <c r="L797" s="13">
        <v>25207.61</v>
      </c>
      <c r="M797" t="s">
        <v>51</v>
      </c>
      <c r="N797">
        <v>3773788000167</v>
      </c>
    </row>
    <row r="798" spans="1:14" x14ac:dyDescent="0.25">
      <c r="A798"/>
      <c r="B798"/>
      <c r="I798"/>
      <c r="J798"/>
      <c r="K798" t="str">
        <f>HYPERLINK("http://www8.mpce.mp.br/Empenhos/150501/NE/2024NE001068.pdf","2024NE001068")</f>
        <v>2024NE001068</v>
      </c>
      <c r="L798" s="13">
        <v>6216.42</v>
      </c>
      <c r="M798" t="s">
        <v>51</v>
      </c>
      <c r="N798">
        <v>3773788000167</v>
      </c>
    </row>
    <row r="799" spans="1:14" x14ac:dyDescent="0.25">
      <c r="A799"/>
      <c r="B799"/>
      <c r="I799"/>
      <c r="J799"/>
      <c r="K799" t="str">
        <f>HYPERLINK("http://www8.mpce.mp.br/Empenhos/150501/NE/2024NE001070.pdf","2024NE001070")</f>
        <v>2024NE001070</v>
      </c>
      <c r="L799" s="13">
        <v>36672</v>
      </c>
      <c r="M799" t="s">
        <v>51</v>
      </c>
      <c r="N799">
        <v>3773788000167</v>
      </c>
    </row>
    <row r="800" spans="1:14" x14ac:dyDescent="0.25">
      <c r="A800"/>
      <c r="B800"/>
      <c r="I800"/>
      <c r="J800"/>
      <c r="K800" t="str">
        <f>HYPERLINK("http://www8.mpce.mp.br/Empenhos/150501/NE/2024NE001070.pdf","2024NE001070")</f>
        <v>2024NE001070</v>
      </c>
      <c r="L800" s="13">
        <v>36672</v>
      </c>
      <c r="M800" t="s">
        <v>51</v>
      </c>
      <c r="N800">
        <v>3773788000167</v>
      </c>
    </row>
    <row r="801" spans="1:14" x14ac:dyDescent="0.25">
      <c r="A801"/>
      <c r="B801"/>
      <c r="I801"/>
      <c r="J801"/>
      <c r="K801" t="str">
        <f>HYPERLINK("http://www8.mpce.mp.br/Empenhos/150501/NE/2024NE001070.pdf","2024NE001070")</f>
        <v>2024NE001070</v>
      </c>
      <c r="L801" s="13">
        <v>36672</v>
      </c>
      <c r="M801" t="s">
        <v>51</v>
      </c>
      <c r="N801">
        <v>3773788000167</v>
      </c>
    </row>
    <row r="802" spans="1:14" x14ac:dyDescent="0.25">
      <c r="A802"/>
      <c r="B802"/>
      <c r="I802"/>
      <c r="J802"/>
      <c r="K802" t="str">
        <f>HYPERLINK("http://www8.mpce.mp.br/Empenhos/150501/NE/2024NE001070.pdf","2024NE001070")</f>
        <v>2024NE001070</v>
      </c>
      <c r="L802" s="13">
        <v>36672</v>
      </c>
      <c r="M802" t="s">
        <v>51</v>
      </c>
      <c r="N802">
        <v>3773788000167</v>
      </c>
    </row>
    <row r="803" spans="1:14" x14ac:dyDescent="0.25">
      <c r="A803"/>
      <c r="B803"/>
      <c r="I803"/>
      <c r="J803"/>
      <c r="K803" t="str">
        <f>HYPERLINK("http://www8.mpce.mp.br/Empenhos/150501/NE/2024NE001071.pdf","2024NE001071")</f>
        <v>2024NE001071</v>
      </c>
      <c r="L803" s="13">
        <v>7594.5</v>
      </c>
      <c r="M803" t="s">
        <v>54</v>
      </c>
      <c r="N803">
        <v>7955535000165</v>
      </c>
    </row>
    <row r="804" spans="1:14" x14ac:dyDescent="0.25">
      <c r="A804"/>
      <c r="B804"/>
      <c r="I804"/>
      <c r="J804"/>
      <c r="K804" t="str">
        <f>HYPERLINK("http://www8.mpce.mp.br/Empenhos/150501/NE/2024NE001074.pdf","2024NE001074")</f>
        <v>2024NE001074</v>
      </c>
      <c r="L804" s="13">
        <v>13486.5</v>
      </c>
      <c r="M804" t="s">
        <v>25</v>
      </c>
      <c r="N804">
        <v>53820857000114</v>
      </c>
    </row>
    <row r="805" spans="1:14" x14ac:dyDescent="0.25">
      <c r="A805"/>
      <c r="B805"/>
      <c r="I805"/>
      <c r="J805"/>
      <c r="K805" t="str">
        <f>HYPERLINK("http://www8.mpce.mp.br/Empenhos/150501/NE/2024NE001075.pdf","2024NE001075")</f>
        <v>2024NE001075</v>
      </c>
      <c r="L805" s="13">
        <v>18465</v>
      </c>
      <c r="M805" t="s">
        <v>24</v>
      </c>
      <c r="N805">
        <v>7936046000166</v>
      </c>
    </row>
    <row r="806" spans="1:14" x14ac:dyDescent="0.25">
      <c r="A806"/>
      <c r="B806"/>
      <c r="I806"/>
      <c r="J806"/>
      <c r="K806" t="str">
        <f>HYPERLINK("http://www8.mpce.mp.br/Empenhos/150501/NE/2024NE001076.pdf","2024NE001076")</f>
        <v>2024NE001076</v>
      </c>
      <c r="L806" s="13">
        <v>18900</v>
      </c>
      <c r="M806" t="s">
        <v>23</v>
      </c>
      <c r="N806">
        <v>32697604000125</v>
      </c>
    </row>
    <row r="807" spans="1:14" x14ac:dyDescent="0.25">
      <c r="A807"/>
      <c r="B807"/>
      <c r="I807"/>
      <c r="J807"/>
      <c r="K807" t="str">
        <f>HYPERLINK("http://www8.mpce.mp.br/Empenhos/150501/NE/2024NE001088.pdf","2024NE001088")</f>
        <v>2024NE001088</v>
      </c>
      <c r="L807" s="13">
        <v>16440</v>
      </c>
      <c r="M807" t="s">
        <v>27</v>
      </c>
      <c r="N807">
        <v>22705562000173</v>
      </c>
    </row>
    <row r="808" spans="1:14" x14ac:dyDescent="0.25">
      <c r="A808"/>
      <c r="B808"/>
      <c r="I808"/>
      <c r="J808"/>
      <c r="K808" t="str">
        <f>HYPERLINK("http://www8.mpce.mp.br/Empenhos/150501/NE/2024NE001092.pdf","2024NE001092")</f>
        <v>2024NE001092</v>
      </c>
      <c r="L808" s="13">
        <v>19378.669999999998</v>
      </c>
      <c r="M808" t="s">
        <v>66</v>
      </c>
      <c r="N808">
        <v>3888247000184</v>
      </c>
    </row>
    <row r="809" spans="1:14" x14ac:dyDescent="0.25">
      <c r="A809"/>
      <c r="B809"/>
      <c r="I809"/>
      <c r="J809"/>
      <c r="K809" t="str">
        <f>HYPERLINK("http://www8.mpce.mp.br/Empenhos/150501/NE/2024NE001093.pdf","2024NE001093")</f>
        <v>2024NE001093</v>
      </c>
      <c r="L809">
        <v>729.9</v>
      </c>
      <c r="M809" t="s">
        <v>43</v>
      </c>
      <c r="N809">
        <v>22588967000179</v>
      </c>
    </row>
    <row r="810" spans="1:14" x14ac:dyDescent="0.25">
      <c r="A810"/>
      <c r="B810"/>
      <c r="I810"/>
      <c r="J810"/>
      <c r="K810" t="str">
        <f>HYPERLINK("http://www8.mpce.mp.br/Empenhos/150501/NE/2024NE001094.pdf","2024NE001094")</f>
        <v>2024NE001094</v>
      </c>
      <c r="L810">
        <v>457.11</v>
      </c>
      <c r="M810" t="s">
        <v>43</v>
      </c>
      <c r="N810">
        <v>22588967000179</v>
      </c>
    </row>
    <row r="811" spans="1:14" x14ac:dyDescent="0.25">
      <c r="A811"/>
      <c r="B811"/>
      <c r="I811"/>
      <c r="J811"/>
      <c r="K811" t="str">
        <f>HYPERLINK("http://www8.mpce.mp.br/Empenhos/150501/NE/2024NE001095.pdf","2024NE001095")</f>
        <v>2024NE001095</v>
      </c>
      <c r="L811" s="13">
        <v>71000</v>
      </c>
      <c r="M811" t="s">
        <v>51</v>
      </c>
      <c r="N811">
        <v>3773788000167</v>
      </c>
    </row>
    <row r="812" spans="1:14" x14ac:dyDescent="0.25">
      <c r="A812"/>
      <c r="B812"/>
      <c r="I812"/>
      <c r="J812"/>
      <c r="K812" t="str">
        <f>HYPERLINK("http://www8.mpce.mp.br/Empenhos/150501/NE/2024NE001095.pdf","2024NE001095")</f>
        <v>2024NE001095</v>
      </c>
      <c r="L812" s="13">
        <v>71000</v>
      </c>
      <c r="M812" t="s">
        <v>51</v>
      </c>
      <c r="N812">
        <v>3773788000167</v>
      </c>
    </row>
    <row r="813" spans="1:14" x14ac:dyDescent="0.25">
      <c r="A813"/>
      <c r="B813"/>
      <c r="I813"/>
      <c r="J813"/>
      <c r="K813" t="str">
        <f>HYPERLINK("http://www8.mpce.mp.br/Empenhos/150501/NE/2024NE001095.pdf","2024NE001095")</f>
        <v>2024NE001095</v>
      </c>
      <c r="L813" s="13">
        <v>71000</v>
      </c>
      <c r="M813" t="s">
        <v>51</v>
      </c>
      <c r="N813">
        <v>3773788000167</v>
      </c>
    </row>
    <row r="814" spans="1:14" x14ac:dyDescent="0.25">
      <c r="A814"/>
      <c r="B814"/>
      <c r="I814"/>
      <c r="J814"/>
      <c r="K814" t="str">
        <f t="shared" ref="K814:K823" si="9">HYPERLINK("http://www8.mpce.mp.br/Empenhos/150501/NE/2024NE001096.pdf","2024NE001096")</f>
        <v>2024NE001096</v>
      </c>
      <c r="L814" s="13">
        <v>104500</v>
      </c>
      <c r="M814" t="s">
        <v>73</v>
      </c>
      <c r="N814">
        <v>82845322000104</v>
      </c>
    </row>
    <row r="815" spans="1:14" x14ac:dyDescent="0.25">
      <c r="A815"/>
      <c r="B815"/>
      <c r="I815"/>
      <c r="J815"/>
      <c r="K815" t="str">
        <f t="shared" si="9"/>
        <v>2024NE001096</v>
      </c>
      <c r="L815" s="13">
        <v>104500</v>
      </c>
      <c r="M815" t="s">
        <v>73</v>
      </c>
      <c r="N815">
        <v>82845322000104</v>
      </c>
    </row>
    <row r="816" spans="1:14" x14ac:dyDescent="0.25">
      <c r="A816"/>
      <c r="B816"/>
      <c r="I816"/>
      <c r="J816"/>
      <c r="K816" t="str">
        <f t="shared" si="9"/>
        <v>2024NE001096</v>
      </c>
      <c r="L816" s="13">
        <v>104500</v>
      </c>
      <c r="M816" t="s">
        <v>73</v>
      </c>
      <c r="N816">
        <v>82845322000104</v>
      </c>
    </row>
    <row r="817" spans="1:14" x14ac:dyDescent="0.25">
      <c r="A817"/>
      <c r="B817"/>
      <c r="I817"/>
      <c r="J817"/>
      <c r="K817" t="str">
        <f t="shared" si="9"/>
        <v>2024NE001096</v>
      </c>
      <c r="L817" s="13">
        <v>104500</v>
      </c>
      <c r="M817" t="s">
        <v>73</v>
      </c>
      <c r="N817">
        <v>82845322000104</v>
      </c>
    </row>
    <row r="818" spans="1:14" x14ac:dyDescent="0.25">
      <c r="A818"/>
      <c r="B818"/>
      <c r="I818"/>
      <c r="J818"/>
      <c r="K818" t="str">
        <f t="shared" si="9"/>
        <v>2024NE001096</v>
      </c>
      <c r="L818" s="13">
        <v>104500</v>
      </c>
      <c r="M818" t="s">
        <v>73</v>
      </c>
      <c r="N818">
        <v>82845322000104</v>
      </c>
    </row>
    <row r="819" spans="1:14" x14ac:dyDescent="0.25">
      <c r="A819"/>
      <c r="B819"/>
      <c r="I819"/>
      <c r="J819"/>
      <c r="K819" t="str">
        <f t="shared" si="9"/>
        <v>2024NE001096</v>
      </c>
      <c r="L819" s="13">
        <v>104500</v>
      </c>
      <c r="M819" t="s">
        <v>73</v>
      </c>
      <c r="N819">
        <v>82845322000104</v>
      </c>
    </row>
    <row r="820" spans="1:14" x14ac:dyDescent="0.25">
      <c r="A820"/>
      <c r="B820"/>
      <c r="I820"/>
      <c r="J820"/>
      <c r="K820" t="str">
        <f t="shared" si="9"/>
        <v>2024NE001096</v>
      </c>
      <c r="L820" s="13">
        <v>104500</v>
      </c>
      <c r="M820" t="s">
        <v>73</v>
      </c>
      <c r="N820">
        <v>82845322000104</v>
      </c>
    </row>
    <row r="821" spans="1:14" x14ac:dyDescent="0.25">
      <c r="A821"/>
      <c r="B821"/>
      <c r="I821"/>
      <c r="J821"/>
      <c r="K821" t="str">
        <f t="shared" si="9"/>
        <v>2024NE001096</v>
      </c>
      <c r="L821" s="13">
        <v>104500</v>
      </c>
      <c r="M821" t="s">
        <v>73</v>
      </c>
      <c r="N821">
        <v>82845322000104</v>
      </c>
    </row>
    <row r="822" spans="1:14" x14ac:dyDescent="0.25">
      <c r="A822"/>
      <c r="B822"/>
      <c r="I822"/>
      <c r="J822"/>
      <c r="K822" t="str">
        <f t="shared" si="9"/>
        <v>2024NE001096</v>
      </c>
      <c r="L822" s="13">
        <v>104500</v>
      </c>
      <c r="M822" t="s">
        <v>73</v>
      </c>
      <c r="N822">
        <v>82845322000104</v>
      </c>
    </row>
    <row r="823" spans="1:14" x14ac:dyDescent="0.25">
      <c r="A823"/>
      <c r="B823"/>
      <c r="I823"/>
      <c r="J823"/>
      <c r="K823" t="str">
        <f t="shared" si="9"/>
        <v>2024NE001096</v>
      </c>
      <c r="L823" s="13">
        <v>104500</v>
      </c>
      <c r="M823" t="s">
        <v>73</v>
      </c>
      <c r="N823">
        <v>82845322000104</v>
      </c>
    </row>
    <row r="824" spans="1:14" x14ac:dyDescent="0.25">
      <c r="A824"/>
      <c r="B824"/>
      <c r="I824"/>
      <c r="J824"/>
      <c r="K824" t="str">
        <f t="shared" ref="K824:K833" si="10">HYPERLINK("http://www8.mpce.mp.br/Empenhos/150501/NE/2024NE001097.pdf","2024NE001097")</f>
        <v>2024NE001097</v>
      </c>
      <c r="L824" s="13">
        <v>13896.9</v>
      </c>
      <c r="M824" t="s">
        <v>73</v>
      </c>
      <c r="N824">
        <v>82845322000104</v>
      </c>
    </row>
    <row r="825" spans="1:14" x14ac:dyDescent="0.25">
      <c r="A825"/>
      <c r="B825"/>
      <c r="I825"/>
      <c r="J825"/>
      <c r="K825" t="str">
        <f t="shared" si="10"/>
        <v>2024NE001097</v>
      </c>
      <c r="L825" s="13">
        <v>13896.9</v>
      </c>
      <c r="M825" t="s">
        <v>73</v>
      </c>
      <c r="N825">
        <v>82845322000104</v>
      </c>
    </row>
    <row r="826" spans="1:14" x14ac:dyDescent="0.25">
      <c r="A826"/>
      <c r="B826"/>
      <c r="I826"/>
      <c r="J826"/>
      <c r="K826" t="str">
        <f t="shared" si="10"/>
        <v>2024NE001097</v>
      </c>
      <c r="L826" s="13">
        <v>13896.9</v>
      </c>
      <c r="M826" t="s">
        <v>73</v>
      </c>
      <c r="N826">
        <v>82845322000104</v>
      </c>
    </row>
    <row r="827" spans="1:14" x14ac:dyDescent="0.25">
      <c r="A827"/>
      <c r="B827"/>
      <c r="I827"/>
      <c r="J827"/>
      <c r="K827" t="str">
        <f t="shared" si="10"/>
        <v>2024NE001097</v>
      </c>
      <c r="L827" s="13">
        <v>13896.9</v>
      </c>
      <c r="M827" t="s">
        <v>73</v>
      </c>
      <c r="N827">
        <v>82845322000104</v>
      </c>
    </row>
    <row r="828" spans="1:14" x14ac:dyDescent="0.25">
      <c r="A828"/>
      <c r="B828"/>
      <c r="I828"/>
      <c r="J828"/>
      <c r="K828" t="str">
        <f t="shared" si="10"/>
        <v>2024NE001097</v>
      </c>
      <c r="L828" s="13">
        <v>13896.9</v>
      </c>
      <c r="M828" t="s">
        <v>73</v>
      </c>
      <c r="N828">
        <v>82845322000104</v>
      </c>
    </row>
    <row r="829" spans="1:14" x14ac:dyDescent="0.25">
      <c r="A829"/>
      <c r="B829"/>
      <c r="I829"/>
      <c r="J829"/>
      <c r="K829" t="str">
        <f t="shared" si="10"/>
        <v>2024NE001097</v>
      </c>
      <c r="L829" s="13">
        <v>13896.9</v>
      </c>
      <c r="M829" t="s">
        <v>73</v>
      </c>
      <c r="N829">
        <v>82845322000104</v>
      </c>
    </row>
    <row r="830" spans="1:14" x14ac:dyDescent="0.25">
      <c r="A830"/>
      <c r="B830"/>
      <c r="I830"/>
      <c r="J830"/>
      <c r="K830" t="str">
        <f t="shared" si="10"/>
        <v>2024NE001097</v>
      </c>
      <c r="L830" s="13">
        <v>13896.9</v>
      </c>
      <c r="M830" t="s">
        <v>73</v>
      </c>
      <c r="N830">
        <v>82845322000104</v>
      </c>
    </row>
    <row r="831" spans="1:14" x14ac:dyDescent="0.25">
      <c r="A831"/>
      <c r="B831"/>
      <c r="I831"/>
      <c r="J831"/>
      <c r="K831" t="str">
        <f t="shared" si="10"/>
        <v>2024NE001097</v>
      </c>
      <c r="L831" s="13">
        <v>13896.9</v>
      </c>
      <c r="M831" t="s">
        <v>73</v>
      </c>
      <c r="N831">
        <v>82845322000104</v>
      </c>
    </row>
    <row r="832" spans="1:14" x14ac:dyDescent="0.25">
      <c r="A832"/>
      <c r="B832"/>
      <c r="I832"/>
      <c r="J832"/>
      <c r="K832" t="str">
        <f t="shared" si="10"/>
        <v>2024NE001097</v>
      </c>
      <c r="L832" s="13">
        <v>13896.9</v>
      </c>
      <c r="M832" t="s">
        <v>73</v>
      </c>
      <c r="N832">
        <v>82845322000104</v>
      </c>
    </row>
    <row r="833" spans="1:14" x14ac:dyDescent="0.25">
      <c r="A833"/>
      <c r="B833"/>
      <c r="I833"/>
      <c r="J833"/>
      <c r="K833" t="str">
        <f t="shared" si="10"/>
        <v>2024NE001097</v>
      </c>
      <c r="L833" s="13">
        <v>13896.9</v>
      </c>
      <c r="M833" t="s">
        <v>73</v>
      </c>
      <c r="N833">
        <v>82845322000104</v>
      </c>
    </row>
    <row r="834" spans="1:14" x14ac:dyDescent="0.25">
      <c r="A834"/>
      <c r="B834"/>
      <c r="I834"/>
      <c r="J834"/>
      <c r="K834" t="str">
        <f t="shared" ref="K834:K843" si="11">HYPERLINK("http://www8.mpce.mp.br/Empenhos/150501/NE/2024NE001098.pdf","2024NE001098")</f>
        <v>2024NE001098</v>
      </c>
      <c r="L834" s="13">
        <v>109229.6</v>
      </c>
      <c r="M834" t="s">
        <v>73</v>
      </c>
      <c r="N834">
        <v>82845322000104</v>
      </c>
    </row>
    <row r="835" spans="1:14" x14ac:dyDescent="0.25">
      <c r="A835"/>
      <c r="B835"/>
      <c r="I835"/>
      <c r="J835"/>
      <c r="K835" t="str">
        <f t="shared" si="11"/>
        <v>2024NE001098</v>
      </c>
      <c r="L835" s="13">
        <v>109229.6</v>
      </c>
      <c r="M835" t="s">
        <v>73</v>
      </c>
      <c r="N835">
        <v>82845322000104</v>
      </c>
    </row>
    <row r="836" spans="1:14" x14ac:dyDescent="0.25">
      <c r="A836"/>
      <c r="B836"/>
      <c r="I836"/>
      <c r="J836"/>
      <c r="K836" t="str">
        <f t="shared" si="11"/>
        <v>2024NE001098</v>
      </c>
      <c r="L836" s="13">
        <v>109229.6</v>
      </c>
      <c r="M836" t="s">
        <v>73</v>
      </c>
      <c r="N836">
        <v>82845322000104</v>
      </c>
    </row>
    <row r="837" spans="1:14" x14ac:dyDescent="0.25">
      <c r="A837"/>
      <c r="B837"/>
      <c r="I837"/>
      <c r="J837"/>
      <c r="K837" t="str">
        <f t="shared" si="11"/>
        <v>2024NE001098</v>
      </c>
      <c r="L837" s="13">
        <v>109229.6</v>
      </c>
      <c r="M837" t="s">
        <v>73</v>
      </c>
      <c r="N837">
        <v>82845322000104</v>
      </c>
    </row>
    <row r="838" spans="1:14" x14ac:dyDescent="0.25">
      <c r="A838"/>
      <c r="B838"/>
      <c r="I838"/>
      <c r="J838"/>
      <c r="K838" t="str">
        <f t="shared" si="11"/>
        <v>2024NE001098</v>
      </c>
      <c r="L838" s="13">
        <v>109229.6</v>
      </c>
      <c r="M838" t="s">
        <v>73</v>
      </c>
      <c r="N838">
        <v>82845322000104</v>
      </c>
    </row>
    <row r="839" spans="1:14" x14ac:dyDescent="0.25">
      <c r="A839"/>
      <c r="B839"/>
      <c r="I839"/>
      <c r="J839"/>
      <c r="K839" t="str">
        <f t="shared" si="11"/>
        <v>2024NE001098</v>
      </c>
      <c r="L839" s="13">
        <v>109229.6</v>
      </c>
      <c r="M839" t="s">
        <v>73</v>
      </c>
      <c r="N839">
        <v>82845322000104</v>
      </c>
    </row>
    <row r="840" spans="1:14" x14ac:dyDescent="0.25">
      <c r="A840"/>
      <c r="B840"/>
      <c r="I840"/>
      <c r="J840"/>
      <c r="K840" t="str">
        <f t="shared" si="11"/>
        <v>2024NE001098</v>
      </c>
      <c r="L840" s="13">
        <v>109229.6</v>
      </c>
      <c r="M840" t="s">
        <v>73</v>
      </c>
      <c r="N840">
        <v>82845322000104</v>
      </c>
    </row>
    <row r="841" spans="1:14" x14ac:dyDescent="0.25">
      <c r="A841"/>
      <c r="B841"/>
      <c r="I841"/>
      <c r="J841"/>
      <c r="K841" t="str">
        <f t="shared" si="11"/>
        <v>2024NE001098</v>
      </c>
      <c r="L841" s="13">
        <v>109229.6</v>
      </c>
      <c r="M841" t="s">
        <v>73</v>
      </c>
      <c r="N841">
        <v>82845322000104</v>
      </c>
    </row>
    <row r="842" spans="1:14" x14ac:dyDescent="0.25">
      <c r="A842"/>
      <c r="B842"/>
      <c r="I842"/>
      <c r="J842"/>
      <c r="K842" t="str">
        <f t="shared" si="11"/>
        <v>2024NE001098</v>
      </c>
      <c r="L842" s="13">
        <v>109229.6</v>
      </c>
      <c r="M842" t="s">
        <v>73</v>
      </c>
      <c r="N842">
        <v>82845322000104</v>
      </c>
    </row>
    <row r="843" spans="1:14" x14ac:dyDescent="0.25">
      <c r="A843"/>
      <c r="B843"/>
      <c r="I843"/>
      <c r="J843"/>
      <c r="K843" t="str">
        <f t="shared" si="11"/>
        <v>2024NE001098</v>
      </c>
      <c r="L843" s="13">
        <v>109229.6</v>
      </c>
      <c r="M843" t="s">
        <v>73</v>
      </c>
      <c r="N843">
        <v>82845322000104</v>
      </c>
    </row>
    <row r="844" spans="1:14" x14ac:dyDescent="0.25">
      <c r="A844"/>
      <c r="B844"/>
      <c r="I844"/>
      <c r="J844"/>
      <c r="K844" t="str">
        <f t="shared" ref="K844:K853" si="12">HYPERLINK("http://www8.mpce.mp.br/Empenhos/150501/NE/2024NE001099.pdf","2024NE001099")</f>
        <v>2024NE001099</v>
      </c>
      <c r="L844" s="13">
        <v>82608</v>
      </c>
      <c r="M844" t="s">
        <v>73</v>
      </c>
      <c r="N844">
        <v>82845322000104</v>
      </c>
    </row>
    <row r="845" spans="1:14" x14ac:dyDescent="0.25">
      <c r="A845"/>
      <c r="B845"/>
      <c r="I845"/>
      <c r="J845"/>
      <c r="K845" t="str">
        <f t="shared" si="12"/>
        <v>2024NE001099</v>
      </c>
      <c r="L845" s="13">
        <v>82608</v>
      </c>
      <c r="M845" t="s">
        <v>73</v>
      </c>
      <c r="N845">
        <v>82845322000104</v>
      </c>
    </row>
    <row r="846" spans="1:14" x14ac:dyDescent="0.25">
      <c r="A846"/>
      <c r="B846"/>
      <c r="I846"/>
      <c r="J846"/>
      <c r="K846" t="str">
        <f t="shared" si="12"/>
        <v>2024NE001099</v>
      </c>
      <c r="L846" s="13">
        <v>82608</v>
      </c>
      <c r="M846" t="s">
        <v>73</v>
      </c>
      <c r="N846">
        <v>82845322000104</v>
      </c>
    </row>
    <row r="847" spans="1:14" x14ac:dyDescent="0.25">
      <c r="A847"/>
      <c r="B847"/>
      <c r="I847"/>
      <c r="J847"/>
      <c r="K847" t="str">
        <f t="shared" si="12"/>
        <v>2024NE001099</v>
      </c>
      <c r="L847" s="13">
        <v>82608</v>
      </c>
      <c r="M847" t="s">
        <v>73</v>
      </c>
      <c r="N847">
        <v>82845322000104</v>
      </c>
    </row>
    <row r="848" spans="1:14" x14ac:dyDescent="0.25">
      <c r="A848"/>
      <c r="B848"/>
      <c r="I848"/>
      <c r="J848"/>
      <c r="K848" t="str">
        <f t="shared" si="12"/>
        <v>2024NE001099</v>
      </c>
      <c r="L848" s="13">
        <v>82608</v>
      </c>
      <c r="M848" t="s">
        <v>73</v>
      </c>
      <c r="N848">
        <v>82845322000104</v>
      </c>
    </row>
    <row r="849" spans="1:14" x14ac:dyDescent="0.25">
      <c r="A849"/>
      <c r="B849"/>
      <c r="I849"/>
      <c r="J849"/>
      <c r="K849" t="str">
        <f t="shared" si="12"/>
        <v>2024NE001099</v>
      </c>
      <c r="L849" s="13">
        <v>82608</v>
      </c>
      <c r="M849" t="s">
        <v>73</v>
      </c>
      <c r="N849">
        <v>82845322000104</v>
      </c>
    </row>
    <row r="850" spans="1:14" x14ac:dyDescent="0.25">
      <c r="A850"/>
      <c r="B850"/>
      <c r="I850"/>
      <c r="J850"/>
      <c r="K850" t="str">
        <f t="shared" si="12"/>
        <v>2024NE001099</v>
      </c>
      <c r="L850" s="13">
        <v>82608</v>
      </c>
      <c r="M850" t="s">
        <v>73</v>
      </c>
      <c r="N850">
        <v>82845322000104</v>
      </c>
    </row>
    <row r="851" spans="1:14" x14ac:dyDescent="0.25">
      <c r="A851"/>
      <c r="B851"/>
      <c r="I851"/>
      <c r="J851"/>
      <c r="K851" t="str">
        <f t="shared" si="12"/>
        <v>2024NE001099</v>
      </c>
      <c r="L851" s="13">
        <v>82608</v>
      </c>
      <c r="M851" t="s">
        <v>73</v>
      </c>
      <c r="N851">
        <v>82845322000104</v>
      </c>
    </row>
    <row r="852" spans="1:14" x14ac:dyDescent="0.25">
      <c r="A852"/>
      <c r="B852"/>
      <c r="I852"/>
      <c r="J852"/>
      <c r="K852" t="str">
        <f t="shared" si="12"/>
        <v>2024NE001099</v>
      </c>
      <c r="L852" s="13">
        <v>82608</v>
      </c>
      <c r="M852" t="s">
        <v>73</v>
      </c>
      <c r="N852">
        <v>82845322000104</v>
      </c>
    </row>
    <row r="853" spans="1:14" x14ac:dyDescent="0.25">
      <c r="A853"/>
      <c r="B853"/>
      <c r="I853"/>
      <c r="J853"/>
      <c r="K853" t="str">
        <f t="shared" si="12"/>
        <v>2024NE001099</v>
      </c>
      <c r="L853" s="13">
        <v>82608</v>
      </c>
      <c r="M853" t="s">
        <v>73</v>
      </c>
      <c r="N853">
        <v>82845322000104</v>
      </c>
    </row>
    <row r="854" spans="1:14" x14ac:dyDescent="0.25">
      <c r="A854"/>
      <c r="B854"/>
      <c r="I854"/>
      <c r="J854"/>
      <c r="K854" t="str">
        <f t="shared" ref="K854:K863" si="13">HYPERLINK("http://www8.mpce.mp.br/Empenhos/150501/NE/2024NE001100.pdf","2024NE001100")</f>
        <v>2024NE001100</v>
      </c>
      <c r="L854" s="13">
        <v>72857</v>
      </c>
      <c r="M854" t="s">
        <v>73</v>
      </c>
      <c r="N854">
        <v>82845322000104</v>
      </c>
    </row>
    <row r="855" spans="1:14" x14ac:dyDescent="0.25">
      <c r="A855"/>
      <c r="B855"/>
      <c r="I855"/>
      <c r="J855"/>
      <c r="K855" t="str">
        <f t="shared" si="13"/>
        <v>2024NE001100</v>
      </c>
      <c r="L855" s="13">
        <v>72857</v>
      </c>
      <c r="M855" t="s">
        <v>73</v>
      </c>
      <c r="N855">
        <v>82845322000104</v>
      </c>
    </row>
    <row r="856" spans="1:14" x14ac:dyDescent="0.25">
      <c r="A856"/>
      <c r="B856"/>
      <c r="I856"/>
      <c r="J856"/>
      <c r="K856" t="str">
        <f t="shared" si="13"/>
        <v>2024NE001100</v>
      </c>
      <c r="L856" s="13">
        <v>72857</v>
      </c>
      <c r="M856" t="s">
        <v>73</v>
      </c>
      <c r="N856">
        <v>82845322000104</v>
      </c>
    </row>
    <row r="857" spans="1:14" x14ac:dyDescent="0.25">
      <c r="A857"/>
      <c r="B857"/>
      <c r="I857"/>
      <c r="J857"/>
      <c r="K857" t="str">
        <f t="shared" si="13"/>
        <v>2024NE001100</v>
      </c>
      <c r="L857" s="13">
        <v>72857</v>
      </c>
      <c r="M857" t="s">
        <v>73</v>
      </c>
      <c r="N857">
        <v>82845322000104</v>
      </c>
    </row>
    <row r="858" spans="1:14" x14ac:dyDescent="0.25">
      <c r="A858"/>
      <c r="B858"/>
      <c r="I858"/>
      <c r="J858"/>
      <c r="K858" t="str">
        <f t="shared" si="13"/>
        <v>2024NE001100</v>
      </c>
      <c r="L858" s="13">
        <v>72857</v>
      </c>
      <c r="M858" t="s">
        <v>73</v>
      </c>
      <c r="N858">
        <v>82845322000104</v>
      </c>
    </row>
    <row r="859" spans="1:14" x14ac:dyDescent="0.25">
      <c r="A859"/>
      <c r="B859"/>
      <c r="I859"/>
      <c r="J859"/>
      <c r="K859" t="str">
        <f t="shared" si="13"/>
        <v>2024NE001100</v>
      </c>
      <c r="L859" s="13">
        <v>72857</v>
      </c>
      <c r="M859" t="s">
        <v>73</v>
      </c>
      <c r="N859">
        <v>82845322000104</v>
      </c>
    </row>
    <row r="860" spans="1:14" x14ac:dyDescent="0.25">
      <c r="A860"/>
      <c r="B860"/>
      <c r="I860"/>
      <c r="J860"/>
      <c r="K860" t="str">
        <f t="shared" si="13"/>
        <v>2024NE001100</v>
      </c>
      <c r="L860" s="13">
        <v>72857</v>
      </c>
      <c r="M860" t="s">
        <v>73</v>
      </c>
      <c r="N860">
        <v>82845322000104</v>
      </c>
    </row>
    <row r="861" spans="1:14" x14ac:dyDescent="0.25">
      <c r="A861"/>
      <c r="B861"/>
      <c r="I861"/>
      <c r="J861"/>
      <c r="K861" t="str">
        <f t="shared" si="13"/>
        <v>2024NE001100</v>
      </c>
      <c r="L861" s="13">
        <v>72857</v>
      </c>
      <c r="M861" t="s">
        <v>73</v>
      </c>
      <c r="N861">
        <v>82845322000104</v>
      </c>
    </row>
    <row r="862" spans="1:14" x14ac:dyDescent="0.25">
      <c r="A862"/>
      <c r="B862"/>
      <c r="I862"/>
      <c r="J862"/>
      <c r="K862" t="str">
        <f t="shared" si="13"/>
        <v>2024NE001100</v>
      </c>
      <c r="L862" s="13">
        <v>72857</v>
      </c>
      <c r="M862" t="s">
        <v>73</v>
      </c>
      <c r="N862">
        <v>82845322000104</v>
      </c>
    </row>
    <row r="863" spans="1:14" x14ac:dyDescent="0.25">
      <c r="A863"/>
      <c r="B863"/>
      <c r="I863"/>
      <c r="J863"/>
      <c r="K863" t="str">
        <f t="shared" si="13"/>
        <v>2024NE001100</v>
      </c>
      <c r="L863" s="13">
        <v>72857</v>
      </c>
      <c r="M863" t="s">
        <v>73</v>
      </c>
      <c r="N863">
        <v>82845322000104</v>
      </c>
    </row>
    <row r="864" spans="1:14" x14ac:dyDescent="0.25">
      <c r="A864"/>
      <c r="B864"/>
      <c r="I864"/>
      <c r="J864"/>
      <c r="K864" t="str">
        <f t="shared" ref="K864:K873" si="14">HYPERLINK("http://www8.mpce.mp.br/Empenhos/150501/NE/2024NE001106.pdf","2024NE001106")</f>
        <v>2024NE001106</v>
      </c>
      <c r="L864" s="13">
        <v>153428</v>
      </c>
      <c r="M864" t="s">
        <v>73</v>
      </c>
      <c r="N864">
        <v>82845322000104</v>
      </c>
    </row>
    <row r="865" spans="1:14" x14ac:dyDescent="0.25">
      <c r="A865"/>
      <c r="B865"/>
      <c r="I865"/>
      <c r="J865"/>
      <c r="K865" t="str">
        <f t="shared" si="14"/>
        <v>2024NE001106</v>
      </c>
      <c r="L865" s="13">
        <v>153428</v>
      </c>
      <c r="M865" t="s">
        <v>73</v>
      </c>
      <c r="N865">
        <v>82845322000104</v>
      </c>
    </row>
    <row r="866" spans="1:14" x14ac:dyDescent="0.25">
      <c r="A866"/>
      <c r="B866"/>
      <c r="I866"/>
      <c r="J866"/>
      <c r="K866" t="str">
        <f t="shared" si="14"/>
        <v>2024NE001106</v>
      </c>
      <c r="L866" s="13">
        <v>153428</v>
      </c>
      <c r="M866" t="s">
        <v>73</v>
      </c>
      <c r="N866">
        <v>82845322000104</v>
      </c>
    </row>
    <row r="867" spans="1:14" x14ac:dyDescent="0.25">
      <c r="A867"/>
      <c r="B867"/>
      <c r="I867"/>
      <c r="J867"/>
      <c r="K867" t="str">
        <f t="shared" si="14"/>
        <v>2024NE001106</v>
      </c>
      <c r="L867" s="13">
        <v>153428</v>
      </c>
      <c r="M867" t="s">
        <v>73</v>
      </c>
      <c r="N867">
        <v>82845322000104</v>
      </c>
    </row>
    <row r="868" spans="1:14" x14ac:dyDescent="0.25">
      <c r="A868"/>
      <c r="B868"/>
      <c r="I868"/>
      <c r="J868"/>
      <c r="K868" t="str">
        <f t="shared" si="14"/>
        <v>2024NE001106</v>
      </c>
      <c r="L868" s="13">
        <v>153428</v>
      </c>
      <c r="M868" t="s">
        <v>73</v>
      </c>
      <c r="N868">
        <v>82845322000104</v>
      </c>
    </row>
    <row r="869" spans="1:14" x14ac:dyDescent="0.25">
      <c r="A869"/>
      <c r="B869"/>
      <c r="I869"/>
      <c r="J869"/>
      <c r="K869" t="str">
        <f t="shared" si="14"/>
        <v>2024NE001106</v>
      </c>
      <c r="L869" s="13">
        <v>153428</v>
      </c>
      <c r="M869" t="s">
        <v>73</v>
      </c>
      <c r="N869">
        <v>82845322000104</v>
      </c>
    </row>
    <row r="870" spans="1:14" x14ac:dyDescent="0.25">
      <c r="A870"/>
      <c r="B870"/>
      <c r="I870"/>
      <c r="J870"/>
      <c r="K870" t="str">
        <f t="shared" si="14"/>
        <v>2024NE001106</v>
      </c>
      <c r="L870" s="13">
        <v>153428</v>
      </c>
      <c r="M870" t="s">
        <v>73</v>
      </c>
      <c r="N870">
        <v>82845322000104</v>
      </c>
    </row>
    <row r="871" spans="1:14" x14ac:dyDescent="0.25">
      <c r="A871"/>
      <c r="B871"/>
      <c r="I871"/>
      <c r="J871"/>
      <c r="K871" t="str">
        <f t="shared" si="14"/>
        <v>2024NE001106</v>
      </c>
      <c r="L871" s="13">
        <v>153428</v>
      </c>
      <c r="M871" t="s">
        <v>73</v>
      </c>
      <c r="N871">
        <v>82845322000104</v>
      </c>
    </row>
    <row r="872" spans="1:14" x14ac:dyDescent="0.25">
      <c r="A872"/>
      <c r="B872"/>
      <c r="I872"/>
      <c r="J872"/>
      <c r="K872" t="str">
        <f t="shared" si="14"/>
        <v>2024NE001106</v>
      </c>
      <c r="L872" s="13">
        <v>153428</v>
      </c>
      <c r="M872" t="s">
        <v>73</v>
      </c>
      <c r="N872">
        <v>82845322000104</v>
      </c>
    </row>
    <row r="873" spans="1:14" x14ac:dyDescent="0.25">
      <c r="A873"/>
      <c r="B873"/>
      <c r="I873"/>
      <c r="J873"/>
      <c r="K873" t="str">
        <f t="shared" si="14"/>
        <v>2024NE001106</v>
      </c>
      <c r="L873" s="13">
        <v>153428</v>
      </c>
      <c r="M873" t="s">
        <v>73</v>
      </c>
      <c r="N873">
        <v>82845322000104</v>
      </c>
    </row>
    <row r="874" spans="1:14" x14ac:dyDescent="0.25">
      <c r="A874"/>
      <c r="B874"/>
      <c r="I874"/>
      <c r="J874"/>
      <c r="K874" t="str">
        <f>HYPERLINK("http://www8.mpce.mp.br/Empenhos/150501/NE/2024NE001124.pdf","2024NE001124")</f>
        <v>2024NE001124</v>
      </c>
      <c r="L874" s="13">
        <v>172101.36</v>
      </c>
      <c r="M874" t="s">
        <v>84</v>
      </c>
      <c r="N874">
        <v>5757597000218</v>
      </c>
    </row>
    <row r="875" spans="1:14" x14ac:dyDescent="0.25">
      <c r="A875"/>
      <c r="B875"/>
      <c r="I875"/>
      <c r="J875"/>
      <c r="K875" t="str">
        <f>HYPERLINK("http://www8.mpce.mp.br/Empenhos/150501/NE/2024NE001128.pdf","2024NE001128")</f>
        <v>2024NE001128</v>
      </c>
      <c r="L875" s="13">
        <v>131670</v>
      </c>
      <c r="M875" t="s">
        <v>84</v>
      </c>
      <c r="N875">
        <v>5757597000218</v>
      </c>
    </row>
    <row r="876" spans="1:14" x14ac:dyDescent="0.25">
      <c r="A876"/>
      <c r="B876"/>
      <c r="I876"/>
      <c r="J876"/>
      <c r="K876" t="str">
        <f>HYPERLINK("http://www8.mpce.mp.br/Empenhos/150501/NE/2024NE001128.pdf","2024NE001128")</f>
        <v>2024NE001128</v>
      </c>
      <c r="L876" s="13">
        <v>131670</v>
      </c>
      <c r="M876" t="s">
        <v>84</v>
      </c>
      <c r="N876">
        <v>5757597000218</v>
      </c>
    </row>
    <row r="877" spans="1:14" x14ac:dyDescent="0.25">
      <c r="A877"/>
      <c r="B877"/>
      <c r="I877"/>
      <c r="J877"/>
      <c r="K877" t="str">
        <f>HYPERLINK("http://www8.mpce.mp.br/Empenhos/150501/NE/2024NE001128.pdf","2024NE001128")</f>
        <v>2024NE001128</v>
      </c>
      <c r="L877" s="13">
        <v>131670</v>
      </c>
      <c r="M877" t="s">
        <v>84</v>
      </c>
      <c r="N877">
        <v>5757597000218</v>
      </c>
    </row>
    <row r="878" spans="1:14" x14ac:dyDescent="0.25">
      <c r="A878"/>
      <c r="B878"/>
      <c r="I878"/>
      <c r="J878"/>
      <c r="K878" t="str">
        <f>HYPERLINK("http://www8.mpce.mp.br/Empenhos/150501/NE/2024NE001152.pdf","2024NE001152")</f>
        <v>2024NE001152</v>
      </c>
      <c r="L878" s="13">
        <v>2500</v>
      </c>
      <c r="M878" t="s">
        <v>46</v>
      </c>
      <c r="N878">
        <v>7136315387</v>
      </c>
    </row>
    <row r="879" spans="1:14" x14ac:dyDescent="0.25">
      <c r="A879"/>
      <c r="B879"/>
      <c r="I879"/>
      <c r="J879"/>
      <c r="K879" t="str">
        <f>HYPERLINK("http://www8.mpce.mp.br/Empenhos/150001/NE/2024NE001153.pdf","2024NE001153")</f>
        <v>2024NE001153</v>
      </c>
      <c r="L879" s="13">
        <v>2935</v>
      </c>
      <c r="M879" t="s">
        <v>118</v>
      </c>
      <c r="N879">
        <v>28801634000162</v>
      </c>
    </row>
    <row r="880" spans="1:14" x14ac:dyDescent="0.25">
      <c r="A880"/>
      <c r="B880"/>
      <c r="I880"/>
      <c r="J880"/>
      <c r="K880" t="str">
        <f>HYPERLINK("http://www8.mpce.mp.br/Empenhos/150501/NE/2024NE001153.pdf","2024NE001153")</f>
        <v>2024NE001153</v>
      </c>
      <c r="L880" s="13">
        <v>1640.35</v>
      </c>
      <c r="M880" t="s">
        <v>43</v>
      </c>
      <c r="N880">
        <v>22588967000179</v>
      </c>
    </row>
    <row r="881" spans="1:14" x14ac:dyDescent="0.25">
      <c r="A881"/>
      <c r="B881"/>
      <c r="I881"/>
      <c r="J881"/>
      <c r="K881" t="str">
        <f>HYPERLINK("http://www8.mpce.mp.br/Empenhos/150001/NE/2024NE001154.pdf","2024NE001154")</f>
        <v>2024NE001154</v>
      </c>
      <c r="L881" s="13">
        <v>7890</v>
      </c>
      <c r="M881" t="s">
        <v>119</v>
      </c>
      <c r="N881">
        <v>29101955000117</v>
      </c>
    </row>
    <row r="882" spans="1:14" x14ac:dyDescent="0.25">
      <c r="A882"/>
      <c r="B882"/>
      <c r="I882"/>
      <c r="J882"/>
      <c r="K882" t="str">
        <f>HYPERLINK("http://www8.mpce.mp.br/Empenhos/150501/NE/2024NE001154.pdf","2024NE001154")</f>
        <v>2024NE001154</v>
      </c>
      <c r="L882">
        <v>499.1</v>
      </c>
      <c r="M882" t="s">
        <v>43</v>
      </c>
      <c r="N882">
        <v>22588967000179</v>
      </c>
    </row>
    <row r="883" spans="1:14" x14ac:dyDescent="0.25">
      <c r="A883"/>
      <c r="B883"/>
      <c r="I883"/>
      <c r="J883"/>
      <c r="K883" t="str">
        <f>HYPERLINK("http://www8.mpce.mp.br/Empenhos/150001/NE/2024NE001155.pdf","2024NE001155")</f>
        <v>2024NE001155</v>
      </c>
      <c r="L883">
        <v>847</v>
      </c>
      <c r="M883" t="s">
        <v>120</v>
      </c>
      <c r="N883">
        <v>1722296000117</v>
      </c>
    </row>
    <row r="884" spans="1:14" x14ac:dyDescent="0.25">
      <c r="A884"/>
      <c r="B884"/>
      <c r="I884"/>
      <c r="J884"/>
      <c r="K884" t="str">
        <f>HYPERLINK("http://www8.mpce.mp.br/Empenhos/150001/NE/2024NE001156.pdf","2024NE001156")</f>
        <v>2024NE001156</v>
      </c>
      <c r="L884" s="13">
        <v>38108.46</v>
      </c>
      <c r="M884" t="s">
        <v>121</v>
      </c>
      <c r="N884">
        <v>9485574000171</v>
      </c>
    </row>
    <row r="885" spans="1:14" x14ac:dyDescent="0.25">
      <c r="A885"/>
      <c r="B885"/>
      <c r="I885"/>
      <c r="J885"/>
      <c r="K885" t="str">
        <f>HYPERLINK("http://www8.mpce.mp.br/Empenhos/150501/NE/2024NE001157.pdf","2024NE001157")</f>
        <v>2024NE001157</v>
      </c>
      <c r="L885" s="13">
        <v>1605.66</v>
      </c>
      <c r="M885" t="s">
        <v>43</v>
      </c>
      <c r="N885">
        <v>22588967000179</v>
      </c>
    </row>
    <row r="886" spans="1:14" x14ac:dyDescent="0.25">
      <c r="A886"/>
      <c r="B886"/>
      <c r="I886"/>
      <c r="J886"/>
      <c r="K886" t="str">
        <f>HYPERLINK("http://www8.mpce.mp.br/Empenhos/150501/NE/2024NE001158.pdf","2024NE001158")</f>
        <v>2024NE001158</v>
      </c>
      <c r="L886" s="13">
        <v>5546.1</v>
      </c>
      <c r="M886" t="s">
        <v>43</v>
      </c>
      <c r="N886">
        <v>22588967000179</v>
      </c>
    </row>
    <row r="887" spans="1:14" x14ac:dyDescent="0.25">
      <c r="A887"/>
      <c r="B887"/>
      <c r="I887"/>
      <c r="J887"/>
      <c r="K887" t="str">
        <f>HYPERLINK("http://www8.mpce.mp.br/Empenhos/150001/NE/2024NE001159.pdf","2024NE001159")</f>
        <v>2024NE001159</v>
      </c>
      <c r="L887" s="13">
        <v>90000</v>
      </c>
      <c r="M887" t="s">
        <v>75</v>
      </c>
      <c r="N887">
        <v>7040108000157</v>
      </c>
    </row>
    <row r="888" spans="1:14" x14ac:dyDescent="0.25">
      <c r="A888"/>
      <c r="B888"/>
      <c r="I888"/>
      <c r="J888"/>
      <c r="K888" t="str">
        <f>HYPERLINK("http://www8.mpce.mp.br/Empenhos/150501/NE/2024NE001159.pdf","2024NE001159")</f>
        <v>2024NE001159</v>
      </c>
      <c r="L888" s="13">
        <v>2400</v>
      </c>
      <c r="M888" t="s">
        <v>36</v>
      </c>
      <c r="N888">
        <v>25876988391</v>
      </c>
    </row>
    <row r="889" spans="1:14" x14ac:dyDescent="0.25">
      <c r="A889"/>
      <c r="B889"/>
      <c r="I889"/>
      <c r="J889"/>
      <c r="K889" t="str">
        <f>HYPERLINK("http://www8.mpce.mp.br/Empenhos/150501/NE/2024NE001160.pdf","2024NE001160")</f>
        <v>2024NE001160</v>
      </c>
      <c r="L889" s="13">
        <v>2823.27</v>
      </c>
      <c r="M889" t="s">
        <v>38</v>
      </c>
      <c r="N889">
        <v>35165286215</v>
      </c>
    </row>
    <row r="890" spans="1:14" x14ac:dyDescent="0.25">
      <c r="A890"/>
      <c r="B890"/>
      <c r="I890"/>
      <c r="J890"/>
      <c r="K890" t="str">
        <f>HYPERLINK("http://www8.mpce.mp.br/Empenhos/150501/NE/2024NE001161.pdf","2024NE001161")</f>
        <v>2024NE001161</v>
      </c>
      <c r="L890" s="13">
        <v>5518.15</v>
      </c>
      <c r="M890" t="s">
        <v>37</v>
      </c>
      <c r="N890">
        <v>34123367852</v>
      </c>
    </row>
    <row r="891" spans="1:14" x14ac:dyDescent="0.25">
      <c r="A891"/>
      <c r="B891"/>
      <c r="I891"/>
      <c r="J891"/>
      <c r="L891" s="13"/>
    </row>
    <row r="892" spans="1:14" x14ac:dyDescent="0.25">
      <c r="A892"/>
      <c r="B892"/>
      <c r="I892"/>
      <c r="J892"/>
      <c r="L892" s="13"/>
    </row>
    <row r="893" spans="1:14" x14ac:dyDescent="0.25">
      <c r="A893"/>
      <c r="B893"/>
      <c r="I893"/>
      <c r="J893"/>
    </row>
    <row r="894" spans="1:14" x14ac:dyDescent="0.25">
      <c r="A894"/>
      <c r="B894"/>
      <c r="I894"/>
      <c r="J894"/>
      <c r="L894" s="13"/>
    </row>
    <row r="895" spans="1:14" x14ac:dyDescent="0.25">
      <c r="A895"/>
      <c r="B895"/>
      <c r="I895"/>
      <c r="J895"/>
      <c r="L895" s="13"/>
    </row>
    <row r="896" spans="1:14" x14ac:dyDescent="0.25">
      <c r="A896"/>
      <c r="B896"/>
      <c r="I896"/>
      <c r="J896"/>
      <c r="L896" s="13"/>
    </row>
    <row r="897" spans="1:12" x14ac:dyDescent="0.25">
      <c r="A897"/>
      <c r="B897"/>
      <c r="I897"/>
      <c r="J897"/>
      <c r="L897" s="13"/>
    </row>
    <row r="898" spans="1:12" x14ac:dyDescent="0.25">
      <c r="A898"/>
      <c r="B898"/>
      <c r="I898"/>
      <c r="J898"/>
    </row>
    <row r="899" spans="1:12" x14ac:dyDescent="0.25">
      <c r="A899"/>
      <c r="B899"/>
      <c r="I899"/>
      <c r="J899"/>
      <c r="L899" s="13"/>
    </row>
    <row r="900" spans="1:12" x14ac:dyDescent="0.25">
      <c r="A900"/>
      <c r="B900"/>
      <c r="I900"/>
      <c r="J900"/>
      <c r="L900" s="13"/>
    </row>
    <row r="901" spans="1:12" x14ac:dyDescent="0.25">
      <c r="A901"/>
      <c r="B901"/>
      <c r="I901"/>
      <c r="J901"/>
      <c r="L901" s="13"/>
    </row>
    <row r="902" spans="1:12" x14ac:dyDescent="0.25">
      <c r="A902"/>
      <c r="B902"/>
      <c r="I902"/>
      <c r="J902"/>
      <c r="L902" s="13"/>
    </row>
    <row r="903" spans="1:12" x14ac:dyDescent="0.25">
      <c r="A903"/>
      <c r="B903"/>
      <c r="I903"/>
      <c r="J903"/>
      <c r="L903" s="13"/>
    </row>
    <row r="904" spans="1:12" x14ac:dyDescent="0.25">
      <c r="A904"/>
      <c r="B904"/>
      <c r="I904"/>
      <c r="J904"/>
    </row>
    <row r="905" spans="1:12" x14ac:dyDescent="0.25">
      <c r="A905"/>
      <c r="B905"/>
      <c r="I905"/>
      <c r="J905"/>
      <c r="L905" s="13"/>
    </row>
    <row r="906" spans="1:12" x14ac:dyDescent="0.25">
      <c r="A906"/>
      <c r="B906"/>
      <c r="I906"/>
      <c r="J906"/>
    </row>
    <row r="907" spans="1:12" x14ac:dyDescent="0.25">
      <c r="A907"/>
      <c r="B907"/>
      <c r="I907"/>
      <c r="J907"/>
    </row>
    <row r="908" spans="1:12" x14ac:dyDescent="0.25">
      <c r="A908"/>
      <c r="B908"/>
      <c r="I908"/>
      <c r="J908"/>
      <c r="L908" s="13"/>
    </row>
    <row r="909" spans="1:12" x14ac:dyDescent="0.25">
      <c r="A909"/>
      <c r="B909"/>
      <c r="I909"/>
      <c r="J909"/>
      <c r="L909" s="13"/>
    </row>
    <row r="910" spans="1:12" x14ac:dyDescent="0.25">
      <c r="A910"/>
      <c r="B910"/>
      <c r="I910"/>
      <c r="J910"/>
      <c r="L910" s="13"/>
    </row>
    <row r="911" spans="1:12" x14ac:dyDescent="0.25">
      <c r="A911"/>
      <c r="B911"/>
      <c r="I911"/>
      <c r="J911"/>
      <c r="L911" s="13"/>
    </row>
    <row r="912" spans="1:12" x14ac:dyDescent="0.25">
      <c r="A912"/>
      <c r="B912"/>
      <c r="I912"/>
      <c r="J912"/>
      <c r="L912" s="13"/>
    </row>
    <row r="913" spans="1:12" x14ac:dyDescent="0.25">
      <c r="A913"/>
      <c r="B913"/>
      <c r="I913"/>
      <c r="J913"/>
      <c r="L913" s="13"/>
    </row>
    <row r="914" spans="1:12" x14ac:dyDescent="0.25">
      <c r="A914"/>
      <c r="B914"/>
      <c r="I914"/>
      <c r="J914"/>
      <c r="L914" s="13"/>
    </row>
    <row r="915" spans="1:12" x14ac:dyDescent="0.25">
      <c r="A915"/>
      <c r="B915"/>
      <c r="I915"/>
      <c r="J915"/>
      <c r="L915" s="13"/>
    </row>
    <row r="916" spans="1:12" x14ac:dyDescent="0.25">
      <c r="A916"/>
      <c r="B916"/>
      <c r="I916"/>
      <c r="J916"/>
      <c r="L916" s="13"/>
    </row>
    <row r="917" spans="1:12" x14ac:dyDescent="0.25">
      <c r="A917"/>
      <c r="B917"/>
      <c r="I917"/>
      <c r="J917"/>
      <c r="L917" s="13"/>
    </row>
    <row r="918" spans="1:12" x14ac:dyDescent="0.25">
      <c r="A918"/>
      <c r="B918"/>
      <c r="I918"/>
      <c r="J918"/>
      <c r="L918" s="13"/>
    </row>
    <row r="919" spans="1:12" x14ac:dyDescent="0.25">
      <c r="A919"/>
      <c r="B919"/>
      <c r="I919"/>
      <c r="J919"/>
      <c r="L919" s="13"/>
    </row>
    <row r="920" spans="1:12" x14ac:dyDescent="0.25">
      <c r="A920"/>
      <c r="B920"/>
      <c r="I920"/>
      <c r="J920"/>
    </row>
    <row r="921" spans="1:12" x14ac:dyDescent="0.25">
      <c r="A921"/>
      <c r="B921"/>
      <c r="I921"/>
      <c r="J921"/>
    </row>
    <row r="922" spans="1:12" x14ac:dyDescent="0.25">
      <c r="A922"/>
      <c r="B922"/>
      <c r="I922"/>
      <c r="J922"/>
    </row>
    <row r="923" spans="1:12" x14ac:dyDescent="0.25">
      <c r="A923"/>
      <c r="B923"/>
      <c r="I923"/>
      <c r="J923"/>
    </row>
    <row r="924" spans="1:12" x14ac:dyDescent="0.25">
      <c r="A924"/>
      <c r="B924"/>
      <c r="I924"/>
      <c r="J924"/>
    </row>
    <row r="925" spans="1:12" x14ac:dyDescent="0.25">
      <c r="A925"/>
      <c r="B925"/>
      <c r="I925"/>
      <c r="J925"/>
    </row>
    <row r="926" spans="1:12" x14ac:dyDescent="0.25">
      <c r="A926"/>
      <c r="B926"/>
      <c r="I926"/>
      <c r="J926"/>
    </row>
    <row r="927" spans="1:12" x14ac:dyDescent="0.25">
      <c r="A927"/>
      <c r="B927"/>
      <c r="I927"/>
      <c r="J927"/>
    </row>
    <row r="928" spans="1:12" x14ac:dyDescent="0.25">
      <c r="A928"/>
      <c r="B928"/>
      <c r="I928"/>
      <c r="J928"/>
    </row>
    <row r="929" spans="1:12" x14ac:dyDescent="0.25">
      <c r="A929"/>
      <c r="B929"/>
      <c r="I929"/>
      <c r="J929"/>
    </row>
    <row r="930" spans="1:12" x14ac:dyDescent="0.25">
      <c r="A930"/>
      <c r="B930"/>
      <c r="I930"/>
      <c r="J930"/>
    </row>
    <row r="931" spans="1:12" x14ac:dyDescent="0.25">
      <c r="A931"/>
      <c r="B931"/>
      <c r="I931"/>
      <c r="J931"/>
    </row>
    <row r="932" spans="1:12" x14ac:dyDescent="0.25">
      <c r="A932"/>
      <c r="B932"/>
      <c r="I932"/>
      <c r="J932"/>
    </row>
    <row r="933" spans="1:12" x14ac:dyDescent="0.25">
      <c r="A933"/>
      <c r="B933"/>
      <c r="I933"/>
      <c r="J933"/>
      <c r="L933" s="13"/>
    </row>
    <row r="934" spans="1:12" x14ac:dyDescent="0.25">
      <c r="A934"/>
      <c r="B934"/>
      <c r="I934"/>
      <c r="J934"/>
      <c r="L934" s="13"/>
    </row>
    <row r="935" spans="1:12" x14ac:dyDescent="0.25">
      <c r="A935"/>
      <c r="B935"/>
      <c r="I935"/>
      <c r="J935"/>
    </row>
    <row r="936" spans="1:12" x14ac:dyDescent="0.25">
      <c r="A936"/>
      <c r="B936"/>
      <c r="I936"/>
      <c r="J936"/>
      <c r="L936" s="13"/>
    </row>
    <row r="937" spans="1:12" x14ac:dyDescent="0.25">
      <c r="A937"/>
      <c r="B937"/>
      <c r="I937"/>
      <c r="J937"/>
      <c r="L937" s="13"/>
    </row>
    <row r="938" spans="1:12" x14ac:dyDescent="0.25">
      <c r="A938"/>
      <c r="B938"/>
      <c r="I938"/>
      <c r="J938"/>
      <c r="L938" s="13"/>
    </row>
    <row r="939" spans="1:12" x14ac:dyDescent="0.25">
      <c r="A939"/>
      <c r="B939"/>
      <c r="I939"/>
      <c r="J939"/>
      <c r="L939" s="13"/>
    </row>
    <row r="940" spans="1:12" x14ac:dyDescent="0.25">
      <c r="A940"/>
      <c r="B940"/>
      <c r="I940"/>
      <c r="J940"/>
      <c r="L940" s="13"/>
    </row>
    <row r="941" spans="1:12" x14ac:dyDescent="0.25">
      <c r="A941"/>
      <c r="B941"/>
      <c r="I941"/>
      <c r="J941"/>
      <c r="L941" s="13"/>
    </row>
    <row r="942" spans="1:12" x14ac:dyDescent="0.25">
      <c r="A942"/>
      <c r="B942"/>
      <c r="I942"/>
      <c r="J942"/>
      <c r="L942" s="13"/>
    </row>
    <row r="943" spans="1:12" x14ac:dyDescent="0.25">
      <c r="A943"/>
      <c r="B943"/>
      <c r="I943"/>
      <c r="J943"/>
      <c r="L943" s="13"/>
    </row>
    <row r="944" spans="1:12" x14ac:dyDescent="0.25">
      <c r="A944"/>
      <c r="B944"/>
      <c r="I944"/>
      <c r="J944"/>
      <c r="L944" s="13"/>
    </row>
    <row r="945" spans="1:12" x14ac:dyDescent="0.25">
      <c r="A945"/>
      <c r="B945"/>
      <c r="I945"/>
      <c r="J945"/>
      <c r="L945" s="13"/>
    </row>
    <row r="946" spans="1:12" x14ac:dyDescent="0.25">
      <c r="A946"/>
      <c r="B946"/>
      <c r="I946"/>
      <c r="J946"/>
      <c r="L946" s="13"/>
    </row>
    <row r="947" spans="1:12" x14ac:dyDescent="0.25">
      <c r="A947"/>
      <c r="B947"/>
      <c r="I947"/>
      <c r="J947"/>
      <c r="L947" s="13"/>
    </row>
    <row r="948" spans="1:12" x14ac:dyDescent="0.25">
      <c r="A948"/>
      <c r="B948"/>
      <c r="I948"/>
      <c r="J948"/>
      <c r="L948" s="13"/>
    </row>
    <row r="949" spans="1:12" x14ac:dyDescent="0.25">
      <c r="A949"/>
      <c r="B949"/>
      <c r="I949"/>
      <c r="J949"/>
      <c r="L949" s="13"/>
    </row>
    <row r="950" spans="1:12" x14ac:dyDescent="0.25">
      <c r="A950"/>
      <c r="B950"/>
      <c r="I950"/>
      <c r="J950"/>
      <c r="L950" s="13"/>
    </row>
    <row r="951" spans="1:12" x14ac:dyDescent="0.25">
      <c r="A951"/>
      <c r="B951"/>
      <c r="I951"/>
      <c r="J951"/>
      <c r="L951" s="13"/>
    </row>
    <row r="952" spans="1:12" x14ac:dyDescent="0.25">
      <c r="A952"/>
      <c r="B952"/>
      <c r="I952"/>
      <c r="J952"/>
      <c r="L952" s="13"/>
    </row>
    <row r="953" spans="1:12" x14ac:dyDescent="0.25">
      <c r="A953"/>
      <c r="B953"/>
      <c r="I953"/>
      <c r="J953"/>
      <c r="L953" s="13"/>
    </row>
    <row r="954" spans="1:12" x14ac:dyDescent="0.25">
      <c r="A954"/>
      <c r="B954"/>
      <c r="I954"/>
      <c r="J954"/>
      <c r="L954" s="13"/>
    </row>
    <row r="955" spans="1:12" x14ac:dyDescent="0.25">
      <c r="A955"/>
      <c r="B955"/>
      <c r="I955"/>
      <c r="J955"/>
    </row>
    <row r="956" spans="1:12" x14ac:dyDescent="0.25">
      <c r="A956"/>
      <c r="B956"/>
      <c r="I956"/>
      <c r="J956"/>
      <c r="L956" s="13"/>
    </row>
    <row r="957" spans="1:12" x14ac:dyDescent="0.25">
      <c r="A957"/>
      <c r="B957"/>
      <c r="I957"/>
      <c r="J957"/>
      <c r="L957" s="13"/>
    </row>
    <row r="958" spans="1:12" x14ac:dyDescent="0.25">
      <c r="A958"/>
      <c r="B958"/>
      <c r="I958"/>
      <c r="J958"/>
      <c r="L958" s="13"/>
    </row>
    <row r="959" spans="1:12" x14ac:dyDescent="0.25">
      <c r="A959"/>
      <c r="B959"/>
      <c r="I959"/>
      <c r="J959"/>
      <c r="L959" s="13"/>
    </row>
    <row r="960" spans="1:12" x14ac:dyDescent="0.25">
      <c r="A960"/>
      <c r="B960"/>
      <c r="I960"/>
      <c r="J960"/>
      <c r="L960" s="13"/>
    </row>
    <row r="961" spans="1:12" x14ac:dyDescent="0.25">
      <c r="A961"/>
      <c r="B961"/>
      <c r="I961"/>
      <c r="J961"/>
      <c r="L961" s="13"/>
    </row>
    <row r="962" spans="1:12" x14ac:dyDescent="0.25">
      <c r="A962"/>
      <c r="B962"/>
      <c r="I962"/>
      <c r="J962"/>
      <c r="L962" s="13"/>
    </row>
    <row r="963" spans="1:12" x14ac:dyDescent="0.25">
      <c r="A963"/>
      <c r="B963"/>
      <c r="I963"/>
      <c r="J963"/>
      <c r="L963" s="13"/>
    </row>
    <row r="964" spans="1:12" x14ac:dyDescent="0.25">
      <c r="A964"/>
      <c r="B964"/>
      <c r="I964"/>
      <c r="J964"/>
      <c r="L964" s="13"/>
    </row>
    <row r="965" spans="1:12" x14ac:dyDescent="0.25">
      <c r="A965"/>
      <c r="B965"/>
      <c r="I965"/>
      <c r="J965"/>
      <c r="L965" s="13"/>
    </row>
    <row r="966" spans="1:12" x14ac:dyDescent="0.25">
      <c r="A966"/>
      <c r="B966"/>
      <c r="I966"/>
      <c r="J966"/>
      <c r="L966" s="13"/>
    </row>
    <row r="967" spans="1:12" x14ac:dyDescent="0.25">
      <c r="A967"/>
      <c r="B967"/>
      <c r="I967"/>
      <c r="J967"/>
    </row>
    <row r="968" spans="1:12" x14ac:dyDescent="0.25">
      <c r="A968"/>
      <c r="B968"/>
      <c r="I968"/>
      <c r="J968"/>
    </row>
    <row r="969" spans="1:12" x14ac:dyDescent="0.25">
      <c r="A969"/>
      <c r="B969"/>
      <c r="I969"/>
      <c r="J969"/>
    </row>
    <row r="970" spans="1:12" x14ac:dyDescent="0.25">
      <c r="A970"/>
      <c r="B970"/>
      <c r="I970"/>
      <c r="J970"/>
    </row>
    <row r="971" spans="1:12" x14ac:dyDescent="0.25">
      <c r="A971"/>
      <c r="B971"/>
      <c r="I971"/>
      <c r="J971"/>
    </row>
    <row r="972" spans="1:12" x14ac:dyDescent="0.25">
      <c r="A972"/>
      <c r="B972"/>
      <c r="I972"/>
      <c r="J972"/>
    </row>
    <row r="973" spans="1:12" x14ac:dyDescent="0.25">
      <c r="A973"/>
      <c r="B973"/>
      <c r="I973"/>
      <c r="J973"/>
    </row>
    <row r="974" spans="1:12" x14ac:dyDescent="0.25">
      <c r="A974"/>
      <c r="B974"/>
      <c r="I974"/>
      <c r="J974"/>
    </row>
    <row r="975" spans="1:12" x14ac:dyDescent="0.25">
      <c r="A975"/>
      <c r="B975"/>
      <c r="I975"/>
      <c r="J975"/>
    </row>
    <row r="976" spans="1:12" x14ac:dyDescent="0.25">
      <c r="A976"/>
      <c r="B976"/>
      <c r="I976"/>
      <c r="J976"/>
    </row>
    <row r="977" spans="1:12" x14ac:dyDescent="0.25">
      <c r="A977"/>
      <c r="B977"/>
      <c r="I977"/>
      <c r="J977"/>
    </row>
    <row r="978" spans="1:12" x14ac:dyDescent="0.25">
      <c r="A978"/>
      <c r="B978"/>
      <c r="I978"/>
      <c r="J978"/>
    </row>
    <row r="979" spans="1:12" x14ac:dyDescent="0.25">
      <c r="A979"/>
      <c r="B979"/>
      <c r="I979"/>
      <c r="J979"/>
    </row>
    <row r="980" spans="1:12" x14ac:dyDescent="0.25">
      <c r="A980"/>
      <c r="B980"/>
      <c r="I980"/>
      <c r="J980"/>
    </row>
    <row r="981" spans="1:12" x14ac:dyDescent="0.25">
      <c r="A981"/>
      <c r="B981"/>
      <c r="I981"/>
      <c r="J981"/>
      <c r="L981" s="13"/>
    </row>
    <row r="982" spans="1:12" x14ac:dyDescent="0.25">
      <c r="A982"/>
      <c r="B982"/>
      <c r="I982"/>
      <c r="J982"/>
      <c r="L982" s="13"/>
    </row>
    <row r="983" spans="1:12" x14ac:dyDescent="0.25">
      <c r="A983"/>
      <c r="B983"/>
      <c r="I983"/>
      <c r="J983"/>
      <c r="L983" s="13"/>
    </row>
    <row r="984" spans="1:12" x14ac:dyDescent="0.25">
      <c r="A984"/>
      <c r="B984"/>
      <c r="I984"/>
      <c r="J984"/>
      <c r="L984" s="13"/>
    </row>
    <row r="985" spans="1:12" x14ac:dyDescent="0.25">
      <c r="A985"/>
      <c r="B985"/>
      <c r="I985"/>
      <c r="J985"/>
      <c r="L985" s="13"/>
    </row>
    <row r="986" spans="1:12" x14ac:dyDescent="0.25">
      <c r="A986"/>
      <c r="B986"/>
      <c r="I986"/>
      <c r="J986"/>
      <c r="L986" s="13"/>
    </row>
    <row r="987" spans="1:12" x14ac:dyDescent="0.25">
      <c r="A987"/>
      <c r="B987"/>
      <c r="I987"/>
      <c r="J987"/>
      <c r="L987" s="13"/>
    </row>
    <row r="988" spans="1:12" x14ac:dyDescent="0.25">
      <c r="A988"/>
      <c r="B988"/>
      <c r="I988"/>
      <c r="J988"/>
    </row>
    <row r="989" spans="1:12" x14ac:dyDescent="0.25">
      <c r="A989"/>
      <c r="B989"/>
      <c r="I989"/>
      <c r="J989"/>
    </row>
    <row r="990" spans="1:12" x14ac:dyDescent="0.25">
      <c r="A990"/>
      <c r="B990"/>
      <c r="I990"/>
      <c r="J990"/>
    </row>
    <row r="991" spans="1:12" x14ac:dyDescent="0.25">
      <c r="A991"/>
      <c r="B991"/>
      <c r="I991"/>
      <c r="J991"/>
    </row>
    <row r="992" spans="1:12" x14ac:dyDescent="0.25">
      <c r="A992"/>
      <c r="B992"/>
      <c r="I992"/>
      <c r="J992"/>
    </row>
    <row r="993" spans="5:5" customFormat="1" x14ac:dyDescent="0.25">
      <c r="E993" s="18"/>
    </row>
    <row r="994" spans="5:5" customFormat="1" x14ac:dyDescent="0.25">
      <c r="E994" s="18"/>
    </row>
    <row r="995" spans="5:5" customFormat="1" x14ac:dyDescent="0.25">
      <c r="E995" s="18"/>
    </row>
    <row r="996" spans="5:5" customFormat="1" x14ac:dyDescent="0.25">
      <c r="E996" s="18"/>
    </row>
    <row r="997" spans="5:5" customFormat="1" x14ac:dyDescent="0.25">
      <c r="E997" s="18"/>
    </row>
    <row r="998" spans="5:5" customFormat="1" x14ac:dyDescent="0.25">
      <c r="E998" s="18"/>
    </row>
    <row r="999" spans="5:5" customFormat="1" x14ac:dyDescent="0.25">
      <c r="E999" s="18"/>
    </row>
    <row r="1000" spans="5:5" customFormat="1" x14ac:dyDescent="0.25">
      <c r="E1000" s="18"/>
    </row>
    <row r="1001" spans="5:5" customFormat="1" x14ac:dyDescent="0.25">
      <c r="E1001" s="18"/>
    </row>
    <row r="1002" spans="5:5" customFormat="1" x14ac:dyDescent="0.25">
      <c r="E1002" s="18"/>
    </row>
    <row r="1003" spans="5:5" customFormat="1" x14ac:dyDescent="0.25">
      <c r="E1003" s="18"/>
    </row>
    <row r="1004" spans="5:5" customFormat="1" x14ac:dyDescent="0.25">
      <c r="E1004" s="18"/>
    </row>
    <row r="1005" spans="5:5" customFormat="1" x14ac:dyDescent="0.25">
      <c r="E1005" s="18"/>
    </row>
    <row r="1006" spans="5:5" customFormat="1" x14ac:dyDescent="0.25">
      <c r="E1006" s="18"/>
    </row>
    <row r="1007" spans="5:5" customFormat="1" x14ac:dyDescent="0.25">
      <c r="E1007" s="18"/>
    </row>
    <row r="1008" spans="5:5" customFormat="1" x14ac:dyDescent="0.25">
      <c r="E1008" s="18"/>
    </row>
    <row r="1009" spans="5:5" customFormat="1" x14ac:dyDescent="0.25">
      <c r="E1009" s="18"/>
    </row>
    <row r="1010" spans="5:5" customFormat="1" x14ac:dyDescent="0.25">
      <c r="E1010" s="18"/>
    </row>
    <row r="1011" spans="5:5" customFormat="1" x14ac:dyDescent="0.25">
      <c r="E1011" s="18"/>
    </row>
    <row r="1012" spans="5:5" customFormat="1" x14ac:dyDescent="0.25">
      <c r="E1012" s="18"/>
    </row>
    <row r="1013" spans="5:5" customFormat="1" x14ac:dyDescent="0.25">
      <c r="E1013" s="18"/>
    </row>
    <row r="1014" spans="5:5" customFormat="1" x14ac:dyDescent="0.25">
      <c r="E1014" s="18"/>
    </row>
    <row r="1015" spans="5:5" customFormat="1" x14ac:dyDescent="0.25">
      <c r="E1015" s="18"/>
    </row>
    <row r="1016" spans="5:5" customFormat="1" x14ac:dyDescent="0.25">
      <c r="E1016" s="18"/>
    </row>
    <row r="1017" spans="5:5" customFormat="1" x14ac:dyDescent="0.25">
      <c r="E1017" s="18"/>
    </row>
    <row r="1018" spans="5:5" customFormat="1" x14ac:dyDescent="0.25">
      <c r="E1018" s="18"/>
    </row>
    <row r="1019" spans="5:5" customFormat="1" x14ac:dyDescent="0.25">
      <c r="E1019" s="18"/>
    </row>
    <row r="1020" spans="5:5" customFormat="1" x14ac:dyDescent="0.25">
      <c r="E1020" s="18"/>
    </row>
    <row r="1021" spans="5:5" customFormat="1" x14ac:dyDescent="0.25">
      <c r="E1021" s="18"/>
    </row>
    <row r="1022" spans="5:5" customFormat="1" x14ac:dyDescent="0.25">
      <c r="E1022" s="18"/>
    </row>
    <row r="1023" spans="5:5" customFormat="1" x14ac:dyDescent="0.25">
      <c r="E1023" s="18"/>
    </row>
    <row r="1024" spans="5:5" customFormat="1" x14ac:dyDescent="0.25">
      <c r="E1024" s="18"/>
    </row>
    <row r="1025" spans="5:5" customFormat="1" x14ac:dyDescent="0.25">
      <c r="E1025" s="18"/>
    </row>
    <row r="1026" spans="5:5" customFormat="1" x14ac:dyDescent="0.25">
      <c r="E1026" s="18"/>
    </row>
    <row r="1027" spans="5:5" customFormat="1" x14ac:dyDescent="0.25">
      <c r="E1027" s="18"/>
    </row>
    <row r="1028" spans="5:5" customFormat="1" x14ac:dyDescent="0.25">
      <c r="E1028" s="18"/>
    </row>
    <row r="1029" spans="5:5" customFormat="1" x14ac:dyDescent="0.25">
      <c r="E1029" s="18"/>
    </row>
    <row r="1030" spans="5:5" customFormat="1" x14ac:dyDescent="0.25">
      <c r="E1030" s="18"/>
    </row>
    <row r="1031" spans="5:5" customFormat="1" x14ac:dyDescent="0.25">
      <c r="E1031" s="18"/>
    </row>
    <row r="1032" spans="5:5" customFormat="1" x14ac:dyDescent="0.25">
      <c r="E1032" s="18"/>
    </row>
    <row r="1033" spans="5:5" customFormat="1" x14ac:dyDescent="0.25">
      <c r="E1033" s="18"/>
    </row>
    <row r="1034" spans="5:5" customFormat="1" x14ac:dyDescent="0.25">
      <c r="E1034" s="18"/>
    </row>
    <row r="1035" spans="5:5" customFormat="1" x14ac:dyDescent="0.25">
      <c r="E1035" s="18"/>
    </row>
    <row r="1036" spans="5:5" customFormat="1" x14ac:dyDescent="0.25">
      <c r="E1036" s="18"/>
    </row>
    <row r="1037" spans="5:5" customFormat="1" x14ac:dyDescent="0.25">
      <c r="E1037" s="18"/>
    </row>
    <row r="1038" spans="5:5" customFormat="1" x14ac:dyDescent="0.25">
      <c r="E1038" s="18"/>
    </row>
    <row r="1039" spans="5:5" customFormat="1" x14ac:dyDescent="0.25">
      <c r="E1039" s="18"/>
    </row>
    <row r="1040" spans="5:5" customFormat="1" x14ac:dyDescent="0.25">
      <c r="E1040" s="18"/>
    </row>
    <row r="1041" spans="5:5" customFormat="1" x14ac:dyDescent="0.25">
      <c r="E1041" s="18"/>
    </row>
    <row r="1042" spans="5:5" customFormat="1" x14ac:dyDescent="0.25">
      <c r="E1042" s="18"/>
    </row>
    <row r="1043" spans="5:5" customFormat="1" x14ac:dyDescent="0.25">
      <c r="E1043" s="18"/>
    </row>
    <row r="1044" spans="5:5" customFormat="1" x14ac:dyDescent="0.25">
      <c r="E1044" s="18"/>
    </row>
    <row r="1045" spans="5:5" customFormat="1" x14ac:dyDescent="0.25">
      <c r="E1045" s="18"/>
    </row>
    <row r="1046" spans="5:5" customFormat="1" x14ac:dyDescent="0.25">
      <c r="E1046" s="18"/>
    </row>
    <row r="1047" spans="5:5" customFormat="1" x14ac:dyDescent="0.25">
      <c r="E1047" s="18"/>
    </row>
    <row r="1048" spans="5:5" customFormat="1" x14ac:dyDescent="0.25">
      <c r="E1048" s="18"/>
    </row>
    <row r="1049" spans="5:5" customFormat="1" x14ac:dyDescent="0.25">
      <c r="E1049" s="18"/>
    </row>
    <row r="1050" spans="5:5" customFormat="1" x14ac:dyDescent="0.25">
      <c r="E1050" s="18"/>
    </row>
    <row r="1051" spans="5:5" customFormat="1" x14ac:dyDescent="0.25">
      <c r="E1051" s="18"/>
    </row>
    <row r="1052" spans="5:5" customFormat="1" x14ac:dyDescent="0.25">
      <c r="E1052" s="18"/>
    </row>
    <row r="1053" spans="5:5" customFormat="1" x14ac:dyDescent="0.25">
      <c r="E1053" s="18"/>
    </row>
    <row r="1054" spans="5:5" customFormat="1" x14ac:dyDescent="0.25">
      <c r="E1054" s="18"/>
    </row>
    <row r="1055" spans="5:5" customFormat="1" x14ac:dyDescent="0.25">
      <c r="E1055" s="18"/>
    </row>
    <row r="1056" spans="5:5" customFormat="1" x14ac:dyDescent="0.25">
      <c r="E1056" s="18"/>
    </row>
    <row r="1057" spans="5:5" customFormat="1" x14ac:dyDescent="0.25">
      <c r="E1057" s="18"/>
    </row>
    <row r="1058" spans="5:5" customFormat="1" x14ac:dyDescent="0.25">
      <c r="E1058" s="18"/>
    </row>
    <row r="1059" spans="5:5" customFormat="1" x14ac:dyDescent="0.25">
      <c r="E1059" s="18"/>
    </row>
    <row r="1060" spans="5:5" customFormat="1" x14ac:dyDescent="0.25">
      <c r="E1060" s="18"/>
    </row>
    <row r="1061" spans="5:5" customFormat="1" x14ac:dyDescent="0.25">
      <c r="E1061" s="18"/>
    </row>
    <row r="1062" spans="5:5" customFormat="1" x14ac:dyDescent="0.25">
      <c r="E1062" s="18"/>
    </row>
    <row r="1063" spans="5:5" customFormat="1" x14ac:dyDescent="0.25">
      <c r="E1063" s="18"/>
    </row>
    <row r="1064" spans="5:5" customFormat="1" x14ac:dyDescent="0.25">
      <c r="E1064" s="18"/>
    </row>
    <row r="1065" spans="5:5" customFormat="1" x14ac:dyDescent="0.25">
      <c r="E1065" s="18"/>
    </row>
    <row r="1066" spans="5:5" customFormat="1" x14ac:dyDescent="0.25">
      <c r="E1066" s="18"/>
    </row>
    <row r="1067" spans="5:5" customFormat="1" x14ac:dyDescent="0.25">
      <c r="E1067" s="18"/>
    </row>
    <row r="1068" spans="5:5" customFormat="1" x14ac:dyDescent="0.25">
      <c r="E1068" s="18"/>
    </row>
    <row r="1069" spans="5:5" customFormat="1" x14ac:dyDescent="0.25">
      <c r="E1069" s="18"/>
    </row>
    <row r="1070" spans="5:5" customFormat="1" x14ac:dyDescent="0.25">
      <c r="E1070" s="18"/>
    </row>
    <row r="1071" spans="5:5" customFormat="1" x14ac:dyDescent="0.25">
      <c r="E1071" s="18"/>
    </row>
    <row r="1072" spans="5:5" customFormat="1" x14ac:dyDescent="0.25">
      <c r="E1072" s="18"/>
    </row>
    <row r="1073" spans="5:5" customFormat="1" x14ac:dyDescent="0.25">
      <c r="E1073" s="18"/>
    </row>
    <row r="1074" spans="5:5" customFormat="1" x14ac:dyDescent="0.25">
      <c r="E1074" s="18"/>
    </row>
    <row r="1075" spans="5:5" customFormat="1" x14ac:dyDescent="0.25">
      <c r="E1075" s="18"/>
    </row>
    <row r="1076" spans="5:5" customFormat="1" x14ac:dyDescent="0.25">
      <c r="E1076" s="18"/>
    </row>
    <row r="1077" spans="5:5" customFormat="1" x14ac:dyDescent="0.25">
      <c r="E1077" s="18"/>
    </row>
    <row r="1078" spans="5:5" customFormat="1" x14ac:dyDescent="0.25">
      <c r="E1078" s="18"/>
    </row>
    <row r="1079" spans="5:5" customFormat="1" x14ac:dyDescent="0.25">
      <c r="E1079" s="18"/>
    </row>
    <row r="1080" spans="5:5" customFormat="1" x14ac:dyDescent="0.25">
      <c r="E1080" s="18"/>
    </row>
    <row r="1081" spans="5:5" customFormat="1" x14ac:dyDescent="0.25">
      <c r="E1081" s="18"/>
    </row>
    <row r="1082" spans="5:5" customFormat="1" x14ac:dyDescent="0.25">
      <c r="E1082" s="18"/>
    </row>
    <row r="1083" spans="5:5" customFormat="1" x14ac:dyDescent="0.25">
      <c r="E1083" s="18"/>
    </row>
    <row r="1084" spans="5:5" customFormat="1" x14ac:dyDescent="0.25">
      <c r="E1084" s="18"/>
    </row>
    <row r="1085" spans="5:5" customFormat="1" x14ac:dyDescent="0.25">
      <c r="E1085" s="18"/>
    </row>
    <row r="1086" spans="5:5" customFormat="1" x14ac:dyDescent="0.25">
      <c r="E1086" s="18"/>
    </row>
    <row r="1087" spans="5:5" customFormat="1" x14ac:dyDescent="0.25">
      <c r="E1087" s="18"/>
    </row>
    <row r="1088" spans="5:5" customFormat="1" x14ac:dyDescent="0.25">
      <c r="E1088" s="18"/>
    </row>
    <row r="1089" spans="5:5" customFormat="1" x14ac:dyDescent="0.25">
      <c r="E1089" s="18"/>
    </row>
    <row r="1090" spans="5:5" customFormat="1" x14ac:dyDescent="0.25">
      <c r="E1090" s="18"/>
    </row>
    <row r="1091" spans="5:5" customFormat="1" x14ac:dyDescent="0.25">
      <c r="E1091" s="18"/>
    </row>
    <row r="1092" spans="5:5" customFormat="1" x14ac:dyDescent="0.25">
      <c r="E1092" s="18"/>
    </row>
    <row r="1093" spans="5:5" customFormat="1" x14ac:dyDescent="0.25">
      <c r="E1093" s="18"/>
    </row>
    <row r="1094" spans="5:5" customFormat="1" x14ac:dyDescent="0.25">
      <c r="E1094" s="18"/>
    </row>
    <row r="1095" spans="5:5" customFormat="1" x14ac:dyDescent="0.25">
      <c r="E1095" s="18"/>
    </row>
    <row r="1096" spans="5:5" customFormat="1" x14ac:dyDescent="0.25">
      <c r="E1096" s="18"/>
    </row>
    <row r="1097" spans="5:5" customFormat="1" x14ac:dyDescent="0.25">
      <c r="E1097" s="18"/>
    </row>
    <row r="1098" spans="5:5" customFormat="1" x14ac:dyDescent="0.25">
      <c r="E1098" s="18"/>
    </row>
    <row r="1099" spans="5:5" customFormat="1" x14ac:dyDescent="0.25">
      <c r="E1099" s="18"/>
    </row>
    <row r="1100" spans="5:5" customFormat="1" x14ac:dyDescent="0.25">
      <c r="E1100" s="18"/>
    </row>
    <row r="1101" spans="5:5" customFormat="1" x14ac:dyDescent="0.25">
      <c r="E1101" s="18"/>
    </row>
    <row r="1102" spans="5:5" customFormat="1" x14ac:dyDescent="0.25">
      <c r="E1102" s="18"/>
    </row>
    <row r="1103" spans="5:5" customFormat="1" x14ac:dyDescent="0.25">
      <c r="E1103" s="18"/>
    </row>
    <row r="1104" spans="5:5" customFormat="1" x14ac:dyDescent="0.25">
      <c r="E1104" s="18"/>
    </row>
    <row r="1105" spans="5:5" customFormat="1" x14ac:dyDescent="0.25">
      <c r="E1105" s="18"/>
    </row>
    <row r="1106" spans="5:5" customFormat="1" x14ac:dyDescent="0.25">
      <c r="E1106" s="18"/>
    </row>
    <row r="1107" spans="5:5" customFormat="1" x14ac:dyDescent="0.25">
      <c r="E1107" s="18"/>
    </row>
    <row r="1108" spans="5:5" customFormat="1" x14ac:dyDescent="0.25">
      <c r="E1108" s="18"/>
    </row>
    <row r="1109" spans="5:5" customFormat="1" x14ac:dyDescent="0.25">
      <c r="E1109" s="18"/>
    </row>
    <row r="1110" spans="5:5" customFormat="1" x14ac:dyDescent="0.25">
      <c r="E1110" s="18"/>
    </row>
    <row r="1111" spans="5:5" customFormat="1" x14ac:dyDescent="0.25">
      <c r="E1111" s="18"/>
    </row>
    <row r="1112" spans="5:5" customFormat="1" x14ac:dyDescent="0.25">
      <c r="E1112" s="18"/>
    </row>
    <row r="1113" spans="5:5" customFormat="1" x14ac:dyDescent="0.25">
      <c r="E1113" s="18"/>
    </row>
    <row r="1114" spans="5:5" customFormat="1" x14ac:dyDescent="0.25">
      <c r="E1114" s="18"/>
    </row>
    <row r="1115" spans="5:5" customFormat="1" x14ac:dyDescent="0.25">
      <c r="E1115" s="18"/>
    </row>
    <row r="1116" spans="5:5" customFormat="1" x14ac:dyDescent="0.25">
      <c r="E1116" s="18"/>
    </row>
    <row r="1117" spans="5:5" customFormat="1" x14ac:dyDescent="0.25">
      <c r="E1117" s="18"/>
    </row>
    <row r="1118" spans="5:5" customFormat="1" x14ac:dyDescent="0.25">
      <c r="E1118" s="18"/>
    </row>
    <row r="1119" spans="5:5" customFormat="1" x14ac:dyDescent="0.25">
      <c r="E1119" s="18"/>
    </row>
    <row r="1120" spans="5:5" customFormat="1" x14ac:dyDescent="0.25">
      <c r="E1120" s="18"/>
    </row>
    <row r="1121" spans="5:5" customFormat="1" x14ac:dyDescent="0.25">
      <c r="E1121" s="18"/>
    </row>
    <row r="1122" spans="5:5" customFormat="1" x14ac:dyDescent="0.25">
      <c r="E1122" s="18"/>
    </row>
    <row r="1123" spans="5:5" customFormat="1" x14ac:dyDescent="0.25">
      <c r="E1123" s="18"/>
    </row>
    <row r="1124" spans="5:5" customFormat="1" x14ac:dyDescent="0.25">
      <c r="E1124" s="18"/>
    </row>
    <row r="1125" spans="5:5" customFormat="1" x14ac:dyDescent="0.25">
      <c r="E1125" s="18"/>
    </row>
    <row r="1126" spans="5:5" customFormat="1" x14ac:dyDescent="0.25">
      <c r="E1126" s="18"/>
    </row>
    <row r="1127" spans="5:5" customFormat="1" x14ac:dyDescent="0.25">
      <c r="E1127" s="18"/>
    </row>
    <row r="1128" spans="5:5" customFormat="1" x14ac:dyDescent="0.25">
      <c r="E1128" s="18"/>
    </row>
    <row r="1129" spans="5:5" customFormat="1" x14ac:dyDescent="0.25">
      <c r="E1129" s="18"/>
    </row>
    <row r="1130" spans="5:5" customFormat="1" x14ac:dyDescent="0.25">
      <c r="E1130" s="18"/>
    </row>
    <row r="1131" spans="5:5" customFormat="1" x14ac:dyDescent="0.25">
      <c r="E1131" s="18"/>
    </row>
    <row r="1132" spans="5:5" customFormat="1" x14ac:dyDescent="0.25">
      <c r="E1132" s="18"/>
    </row>
    <row r="1133" spans="5:5" customFormat="1" x14ac:dyDescent="0.25">
      <c r="E1133" s="18"/>
    </row>
    <row r="1134" spans="5:5" customFormat="1" x14ac:dyDescent="0.25">
      <c r="E1134" s="18"/>
    </row>
    <row r="1135" spans="5:5" customFormat="1" x14ac:dyDescent="0.25">
      <c r="E1135" s="18"/>
    </row>
    <row r="1136" spans="5:5" customFormat="1" x14ac:dyDescent="0.25">
      <c r="E1136" s="18"/>
    </row>
    <row r="1137" spans="5:5" customFormat="1" x14ac:dyDescent="0.25">
      <c r="E1137" s="18"/>
    </row>
    <row r="1138" spans="5:5" customFormat="1" x14ac:dyDescent="0.25">
      <c r="E1138" s="18"/>
    </row>
    <row r="1139" spans="5:5" customFormat="1" x14ac:dyDescent="0.25">
      <c r="E1139" s="18"/>
    </row>
    <row r="1140" spans="5:5" customFormat="1" x14ac:dyDescent="0.25">
      <c r="E1140" s="18"/>
    </row>
    <row r="1141" spans="5:5" customFormat="1" x14ac:dyDescent="0.25">
      <c r="E1141" s="18"/>
    </row>
    <row r="1142" spans="5:5" customFormat="1" x14ac:dyDescent="0.25">
      <c r="E1142" s="18"/>
    </row>
    <row r="1143" spans="5:5" customFormat="1" x14ac:dyDescent="0.25">
      <c r="E1143" s="18"/>
    </row>
    <row r="1144" spans="5:5" customFormat="1" x14ac:dyDescent="0.25">
      <c r="E1144" s="18"/>
    </row>
    <row r="1145" spans="5:5" customFormat="1" x14ac:dyDescent="0.25">
      <c r="E1145" s="18"/>
    </row>
    <row r="1146" spans="5:5" customFormat="1" x14ac:dyDescent="0.25">
      <c r="E1146" s="18"/>
    </row>
    <row r="1147" spans="5:5" customFormat="1" x14ac:dyDescent="0.25">
      <c r="E1147" s="18"/>
    </row>
    <row r="1148" spans="5:5" customFormat="1" x14ac:dyDescent="0.25">
      <c r="E1148" s="18"/>
    </row>
    <row r="1149" spans="5:5" customFormat="1" x14ac:dyDescent="0.25">
      <c r="E1149" s="18"/>
    </row>
    <row r="1150" spans="5:5" customFormat="1" x14ac:dyDescent="0.25">
      <c r="E1150" s="18"/>
    </row>
    <row r="1151" spans="5:5" customFormat="1" x14ac:dyDescent="0.25">
      <c r="E1151" s="18"/>
    </row>
    <row r="1152" spans="5:5" customFormat="1" x14ac:dyDescent="0.25">
      <c r="E1152" s="18"/>
    </row>
    <row r="1153" spans="5:5" customFormat="1" x14ac:dyDescent="0.25">
      <c r="E1153" s="18"/>
    </row>
    <row r="1154" spans="5:5" customFormat="1" x14ac:dyDescent="0.25">
      <c r="E1154" s="18"/>
    </row>
    <row r="1155" spans="5:5" customFormat="1" x14ac:dyDescent="0.25">
      <c r="E1155" s="18"/>
    </row>
    <row r="1156" spans="5:5" customFormat="1" x14ac:dyDescent="0.25">
      <c r="E1156" s="18"/>
    </row>
    <row r="1157" spans="5:5" customFormat="1" x14ac:dyDescent="0.25">
      <c r="E1157" s="18"/>
    </row>
    <row r="1158" spans="5:5" customFormat="1" x14ac:dyDescent="0.25">
      <c r="E1158" s="18"/>
    </row>
    <row r="1159" spans="5:5" customFormat="1" x14ac:dyDescent="0.25">
      <c r="E1159" s="18"/>
    </row>
    <row r="1160" spans="5:5" customFormat="1" x14ac:dyDescent="0.25">
      <c r="E1160" s="18"/>
    </row>
    <row r="1161" spans="5:5" customFormat="1" x14ac:dyDescent="0.25">
      <c r="E1161" s="18"/>
    </row>
    <row r="1162" spans="5:5" customFormat="1" x14ac:dyDescent="0.25">
      <c r="E1162" s="18"/>
    </row>
    <row r="1163" spans="5:5" customFormat="1" x14ac:dyDescent="0.25">
      <c r="E1163" s="18"/>
    </row>
    <row r="1164" spans="5:5" customFormat="1" x14ac:dyDescent="0.25">
      <c r="E1164" s="18"/>
    </row>
    <row r="1165" spans="5:5" customFormat="1" x14ac:dyDescent="0.25">
      <c r="E1165" s="18"/>
    </row>
    <row r="1166" spans="5:5" customFormat="1" x14ac:dyDescent="0.25">
      <c r="E1166" s="18"/>
    </row>
    <row r="1167" spans="5:5" customFormat="1" x14ac:dyDescent="0.25">
      <c r="E1167" s="18"/>
    </row>
    <row r="1168" spans="5:5" customFormat="1" x14ac:dyDescent="0.25">
      <c r="E1168" s="18"/>
    </row>
    <row r="1169" spans="5:5" customFormat="1" x14ac:dyDescent="0.25">
      <c r="E1169" s="18"/>
    </row>
    <row r="1170" spans="5:5" customFormat="1" x14ac:dyDescent="0.25">
      <c r="E1170" s="18"/>
    </row>
    <row r="1171" spans="5:5" customFormat="1" x14ac:dyDescent="0.25">
      <c r="E1171" s="18"/>
    </row>
    <row r="1172" spans="5:5" customFormat="1" x14ac:dyDescent="0.25">
      <c r="E1172" s="18"/>
    </row>
    <row r="1173" spans="5:5" customFormat="1" x14ac:dyDescent="0.25">
      <c r="E1173" s="18"/>
    </row>
    <row r="1174" spans="5:5" customFormat="1" x14ac:dyDescent="0.25">
      <c r="E1174" s="18"/>
    </row>
    <row r="1175" spans="5:5" customFormat="1" x14ac:dyDescent="0.25">
      <c r="E1175" s="18"/>
    </row>
    <row r="1176" spans="5:5" customFormat="1" x14ac:dyDescent="0.25">
      <c r="E1176" s="18"/>
    </row>
    <row r="1177" spans="5:5" customFormat="1" x14ac:dyDescent="0.25">
      <c r="E1177" s="18"/>
    </row>
    <row r="1178" spans="5:5" customFormat="1" x14ac:dyDescent="0.25">
      <c r="E1178" s="18"/>
    </row>
    <row r="1179" spans="5:5" customFormat="1" x14ac:dyDescent="0.25">
      <c r="E1179" s="18"/>
    </row>
    <row r="1180" spans="5:5" customFormat="1" x14ac:dyDescent="0.25">
      <c r="E1180" s="18"/>
    </row>
    <row r="1181" spans="5:5" customFormat="1" x14ac:dyDescent="0.25">
      <c r="E1181" s="18"/>
    </row>
    <row r="1182" spans="5:5" customFormat="1" x14ac:dyDescent="0.25">
      <c r="E1182" s="18"/>
    </row>
    <row r="1183" spans="5:5" customFormat="1" x14ac:dyDescent="0.25">
      <c r="E1183" s="18"/>
    </row>
    <row r="1184" spans="5:5" customFormat="1" x14ac:dyDescent="0.25">
      <c r="E1184" s="18"/>
    </row>
    <row r="1185" spans="5:5" customFormat="1" x14ac:dyDescent="0.25">
      <c r="E1185" s="18"/>
    </row>
    <row r="1186" spans="5:5" customFormat="1" x14ac:dyDescent="0.25">
      <c r="E1186" s="18"/>
    </row>
    <row r="1187" spans="5:5" customFormat="1" x14ac:dyDescent="0.25">
      <c r="E1187" s="18"/>
    </row>
    <row r="1188" spans="5:5" customFormat="1" x14ac:dyDescent="0.25">
      <c r="E1188" s="18"/>
    </row>
    <row r="1189" spans="5:5" customFormat="1" x14ac:dyDescent="0.25">
      <c r="E1189" s="18"/>
    </row>
    <row r="1190" spans="5:5" customFormat="1" x14ac:dyDescent="0.25">
      <c r="E1190" s="18"/>
    </row>
  </sheetData>
  <phoneticPr fontId="8" type="noConversion"/>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9a8921-312b-4026-9f32-9ba8d63bfe92" xsi:nil="true"/>
    <_Flow_SignoffStatus xmlns="a89c4f2a-e338-42ae-b7ce-5327aeb09d0a" xsi:nil="true"/>
    <lcf76f155ced4ddcb4097134ff3c332f xmlns="a89c4f2a-e338-42ae-b7ce-5327aeb09d0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DC3B9F95F333498A82E33422F09FAB" ma:contentTypeVersion="18" ma:contentTypeDescription="Crie um novo documento." ma:contentTypeScope="" ma:versionID="7cf58e7bec37ebdb9de0e688e4033729">
  <xsd:schema xmlns:xsd="http://www.w3.org/2001/XMLSchema" xmlns:xs="http://www.w3.org/2001/XMLSchema" xmlns:p="http://schemas.microsoft.com/office/2006/metadata/properties" xmlns:ns2="a89c4f2a-e338-42ae-b7ce-5327aeb09d0a" xmlns:ns3="5482c39d-3bee-4a38-bea7-fee2f8e3babd" xmlns:ns4="329a8921-312b-4026-9f32-9ba8d63bfe92" targetNamespace="http://schemas.microsoft.com/office/2006/metadata/properties" ma:root="true" ma:fieldsID="25f5dd0b60a1bad81f23c72359f5e5a1" ns2:_="" ns3:_="" ns4:_="">
    <xsd:import namespace="a89c4f2a-e338-42ae-b7ce-5327aeb09d0a"/>
    <xsd:import namespace="5482c39d-3bee-4a38-bea7-fee2f8e3babd"/>
    <xsd:import namespace="329a8921-312b-4026-9f32-9ba8d63bfe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SearchProperties" minOccurs="0"/>
                <xsd:element ref="ns2:MediaServiceObjectDetectorVersions" minOccurs="0"/>
                <xsd:element ref="ns2:_Flow_SignoffStatu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c4f2a-e338-42ae-b7ce-5327aeb09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f255419-c566-42b2-8349-0f1d378884e7"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Status de liberação" ma:internalName="Status_x0020_de_x0020_libera_x00e7__x00e3_o">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82c39d-3bee-4a38-bea7-fee2f8e3babd"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a8921-312b-4026-9f32-9ba8d63bfe9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001f36c-1d4b-4f1e-8cba-bdaf377d5dd2}" ma:internalName="TaxCatchAll" ma:showField="CatchAllData" ma:web="329a8921-312b-4026-9f32-9ba8d63bfe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41CC0F-354A-4044-90E6-A080CF96B97E}">
  <ds:schemaRefs>
    <ds:schemaRef ds:uri="5482c39d-3bee-4a38-bea7-fee2f8e3babd"/>
    <ds:schemaRef ds:uri="http://purl.org/dc/dcmitype/"/>
    <ds:schemaRef ds:uri="a89c4f2a-e338-42ae-b7ce-5327aeb09d0a"/>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329a8921-312b-4026-9f32-9ba8d63bfe92"/>
    <ds:schemaRef ds:uri="http://purl.org/dc/elements/1.1/"/>
  </ds:schemaRefs>
</ds:datastoreItem>
</file>

<file path=customXml/itemProps2.xml><?xml version="1.0" encoding="utf-8"?>
<ds:datastoreItem xmlns:ds="http://schemas.openxmlformats.org/officeDocument/2006/customXml" ds:itemID="{D78A47D5-A509-4070-B747-F0E77DDEE93B}">
  <ds:schemaRefs>
    <ds:schemaRef ds:uri="http://schemas.microsoft.com/sharepoint/v3/contenttype/forms"/>
  </ds:schemaRefs>
</ds:datastoreItem>
</file>

<file path=customXml/itemProps3.xml><?xml version="1.0" encoding="utf-8"?>
<ds:datastoreItem xmlns:ds="http://schemas.openxmlformats.org/officeDocument/2006/customXml" ds:itemID="{9D5CC9D2-A54B-4421-8616-0628D1BE90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João Roberto Vieira de Melo</dc:creator>
  <cp:keywords/>
  <dc:description/>
  <cp:lastModifiedBy>Paolo Ernesto de Freitas Maurício</cp:lastModifiedBy>
  <cp:revision/>
  <dcterms:created xsi:type="dcterms:W3CDTF">2024-02-26T13:00:21Z</dcterms:created>
  <dcterms:modified xsi:type="dcterms:W3CDTF">2025-12-01T15:23:48Z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0x01010091DC3B9F95F333498A82E33422F09FAB</vt:lpwstr>
  </property>
  <property fmtid="{D5CDD505-2E9C-101B-9397-08002B2CF9AE}" pid="3" name="MediaServiceImageTags">
    <vt:lpwstr/>
  </property>
</Properties>
</file>