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pce365.sharepoint.com/teams/PGJ/CAC/NACON/GESTÃO/AUTOMAÇÃO/DISPENSA E INEXIGIBILIDADE - PORTAL DA TRANSPARÊNCIA/"/>
    </mc:Choice>
  </mc:AlternateContent>
  <xr:revisionPtr revIDLastSave="43" documentId="13_ncr:1_{0D49EA52-C25A-4C6D-84AE-0C4B8B30DA7B}" xr6:coauthVersionLast="47" xr6:coauthVersionMax="47" xr10:uidLastSave="{171AF52B-B515-44B5-B1C2-78CBEE82194C}"/>
  <bookViews>
    <workbookView xWindow="-120" yWindow="-120" windowWidth="29040" windowHeight="15720" xr2:uid="{EF531BC0-2F8C-4D1A-99EB-02327E6C95EE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C3" i="1" l="1"/>
  <c r="E3" i="1"/>
  <c r="G3" i="1"/>
  <c r="C4" i="1"/>
  <c r="E4" i="1"/>
  <c r="G4" i="1"/>
  <c r="C5" i="1"/>
  <c r="E5" i="1"/>
  <c r="G5" i="1"/>
  <c r="C6" i="1"/>
  <c r="E6" i="1"/>
  <c r="G6" i="1"/>
  <c r="C7" i="1"/>
  <c r="E7" i="1"/>
  <c r="G7" i="1"/>
  <c r="C8" i="1"/>
  <c r="E8" i="1"/>
  <c r="G8" i="1"/>
  <c r="C9" i="1"/>
  <c r="E9" i="1"/>
  <c r="G9" i="1"/>
  <c r="C10" i="1"/>
  <c r="E10" i="1"/>
  <c r="G10" i="1"/>
  <c r="C11" i="1"/>
  <c r="E11" i="1"/>
  <c r="G11" i="1"/>
  <c r="C12" i="1"/>
  <c r="E12" i="1"/>
  <c r="G12" i="1"/>
  <c r="C13" i="1"/>
  <c r="E13" i="1"/>
  <c r="G13" i="1"/>
  <c r="C14" i="1"/>
  <c r="E14" i="1"/>
  <c r="G14" i="1"/>
  <c r="C15" i="1"/>
  <c r="E15" i="1"/>
  <c r="G15" i="1"/>
  <c r="C16" i="1"/>
  <c r="E16" i="1"/>
  <c r="G16" i="1"/>
  <c r="C17" i="1"/>
  <c r="E17" i="1"/>
  <c r="G17" i="1"/>
  <c r="C18" i="1"/>
  <c r="E18" i="1"/>
  <c r="G18" i="1"/>
  <c r="C19" i="1"/>
  <c r="E19" i="1"/>
  <c r="G19" i="1"/>
  <c r="C20" i="1"/>
  <c r="E20" i="1"/>
  <c r="G20" i="1"/>
  <c r="C21" i="1"/>
  <c r="E21" i="1"/>
  <c r="G21" i="1"/>
  <c r="C22" i="1"/>
  <c r="E22" i="1"/>
  <c r="G22" i="1"/>
  <c r="C23" i="1"/>
  <c r="E23" i="1"/>
  <c r="G23" i="1"/>
  <c r="C24" i="1"/>
  <c r="E24" i="1"/>
  <c r="G24" i="1"/>
  <c r="C25" i="1"/>
  <c r="E25" i="1"/>
  <c r="G25" i="1"/>
  <c r="C26" i="1"/>
  <c r="E26" i="1"/>
  <c r="G26" i="1"/>
  <c r="C27" i="1"/>
  <c r="E27" i="1"/>
  <c r="G27" i="1"/>
  <c r="C28" i="1"/>
  <c r="E28" i="1"/>
  <c r="G28" i="1"/>
  <c r="C29" i="1"/>
  <c r="E29" i="1"/>
  <c r="G29" i="1"/>
  <c r="C30" i="1"/>
  <c r="E30" i="1"/>
  <c r="G30" i="1"/>
  <c r="C31" i="1"/>
  <c r="E31" i="1"/>
  <c r="G31" i="1"/>
  <c r="C32" i="1"/>
  <c r="E32" i="1"/>
  <c r="G32" i="1"/>
  <c r="C33" i="1"/>
  <c r="E33" i="1"/>
  <c r="G33" i="1"/>
  <c r="C34" i="1"/>
  <c r="E34" i="1"/>
  <c r="G34" i="1"/>
  <c r="C35" i="1"/>
  <c r="E35" i="1"/>
  <c r="G35" i="1"/>
  <c r="C36" i="1"/>
  <c r="E36" i="1"/>
  <c r="G36" i="1"/>
  <c r="C37" i="1"/>
  <c r="G37" i="1"/>
  <c r="C38" i="1"/>
  <c r="E38" i="1"/>
  <c r="G38" i="1"/>
  <c r="C39" i="1"/>
  <c r="E39" i="1"/>
  <c r="G39" i="1"/>
  <c r="C40" i="1"/>
  <c r="E40" i="1"/>
  <c r="G40" i="1"/>
  <c r="C41" i="1"/>
  <c r="E41" i="1"/>
  <c r="G41" i="1"/>
  <c r="C42" i="1"/>
  <c r="E42" i="1"/>
  <c r="G42" i="1"/>
  <c r="C43" i="1"/>
  <c r="E43" i="1"/>
  <c r="G43" i="1"/>
  <c r="C44" i="1"/>
  <c r="E44" i="1"/>
  <c r="G44" i="1"/>
  <c r="C45" i="1"/>
  <c r="E45" i="1"/>
  <c r="G45" i="1"/>
  <c r="C46" i="1"/>
  <c r="E46" i="1"/>
  <c r="G46" i="1"/>
  <c r="C47" i="1"/>
  <c r="E47" i="1"/>
  <c r="G47" i="1"/>
  <c r="C48" i="1"/>
  <c r="E48" i="1"/>
  <c r="G48" i="1"/>
  <c r="C49" i="1"/>
  <c r="E49" i="1"/>
  <c r="G49" i="1"/>
  <c r="C50" i="1"/>
  <c r="E50" i="1"/>
  <c r="G50" i="1"/>
  <c r="C51" i="1"/>
  <c r="E51" i="1"/>
  <c r="G51" i="1"/>
  <c r="C52" i="1"/>
  <c r="E52" i="1"/>
  <c r="G52" i="1"/>
  <c r="C53" i="1"/>
  <c r="E53" i="1"/>
  <c r="G53" i="1"/>
  <c r="C54" i="1"/>
  <c r="E54" i="1"/>
  <c r="G54" i="1"/>
  <c r="C55" i="1"/>
  <c r="E55" i="1"/>
  <c r="G55" i="1"/>
  <c r="C56" i="1"/>
  <c r="E56" i="1"/>
  <c r="G56" i="1"/>
  <c r="C57" i="1"/>
  <c r="G57" i="1"/>
  <c r="C58" i="1"/>
  <c r="G58" i="1"/>
  <c r="C59" i="1"/>
  <c r="E59" i="1"/>
  <c r="G59" i="1"/>
  <c r="C60" i="1"/>
  <c r="G60" i="1"/>
  <c r="C61" i="1"/>
  <c r="E61" i="1"/>
  <c r="G61" i="1"/>
  <c r="C62" i="1"/>
  <c r="G62" i="1"/>
  <c r="C63" i="1"/>
  <c r="E63" i="1"/>
  <c r="G63" i="1"/>
  <c r="C64" i="1"/>
  <c r="E64" i="1"/>
  <c r="G64" i="1"/>
  <c r="C65" i="1"/>
  <c r="E65" i="1"/>
  <c r="G65" i="1"/>
  <c r="C66" i="1"/>
  <c r="G66" i="1"/>
  <c r="C67" i="1"/>
  <c r="E67" i="1"/>
  <c r="G67" i="1"/>
  <c r="C68" i="1"/>
  <c r="E68" i="1"/>
  <c r="G68" i="1"/>
  <c r="C69" i="1"/>
  <c r="G69" i="1"/>
  <c r="C70" i="1"/>
  <c r="E70" i="1"/>
  <c r="G70" i="1"/>
  <c r="C71" i="1"/>
  <c r="E71" i="1"/>
  <c r="G71" i="1"/>
  <c r="C72" i="1"/>
  <c r="G72" i="1"/>
  <c r="C73" i="1"/>
  <c r="E73" i="1"/>
  <c r="G73" i="1"/>
  <c r="C74" i="1"/>
  <c r="G74" i="1"/>
  <c r="C75" i="1"/>
  <c r="G75" i="1"/>
  <c r="C76" i="1"/>
  <c r="G76" i="1"/>
  <c r="C77" i="1"/>
  <c r="G77" i="1"/>
  <c r="C78" i="1"/>
  <c r="G78" i="1"/>
  <c r="C79" i="1"/>
  <c r="G79" i="1"/>
  <c r="C80" i="1"/>
  <c r="G80" i="1"/>
  <c r="C81" i="1"/>
  <c r="E81" i="1"/>
  <c r="G81" i="1"/>
  <c r="C82" i="1"/>
  <c r="G82" i="1"/>
  <c r="C83" i="1"/>
  <c r="E83" i="1"/>
  <c r="G83" i="1"/>
  <c r="C84" i="1"/>
  <c r="G84" i="1"/>
  <c r="C85" i="1"/>
  <c r="G85" i="1"/>
  <c r="C86" i="1"/>
  <c r="E86" i="1"/>
  <c r="G86" i="1"/>
  <c r="C87" i="1"/>
  <c r="G87" i="1"/>
  <c r="C88" i="1"/>
  <c r="E88" i="1"/>
  <c r="G88" i="1"/>
  <c r="C89" i="1"/>
  <c r="E89" i="1"/>
  <c r="G89" i="1"/>
  <c r="C90" i="1"/>
  <c r="G90" i="1"/>
  <c r="C91" i="1"/>
  <c r="G91" i="1"/>
  <c r="C92" i="1"/>
  <c r="G92" i="1"/>
  <c r="C93" i="1"/>
  <c r="E93" i="1"/>
  <c r="G93" i="1"/>
  <c r="C94" i="1"/>
  <c r="E94" i="1"/>
  <c r="G94" i="1"/>
  <c r="C95" i="1"/>
  <c r="E95" i="1"/>
  <c r="G95" i="1"/>
  <c r="C96" i="1"/>
  <c r="E96" i="1"/>
  <c r="G96" i="1"/>
  <c r="C97" i="1"/>
  <c r="E97" i="1"/>
  <c r="G97" i="1"/>
  <c r="C98" i="1"/>
  <c r="E98" i="1"/>
  <c r="G98" i="1"/>
  <c r="C99" i="1"/>
  <c r="E99" i="1"/>
  <c r="G99" i="1"/>
  <c r="C100" i="1"/>
  <c r="E100" i="1"/>
  <c r="G100" i="1"/>
  <c r="C101" i="1"/>
  <c r="E101" i="1"/>
  <c r="G101" i="1"/>
  <c r="C102" i="1"/>
  <c r="E102" i="1"/>
  <c r="G102" i="1"/>
  <c r="C103" i="1"/>
  <c r="E103" i="1"/>
  <c r="G103" i="1"/>
  <c r="C104" i="1"/>
  <c r="E104" i="1"/>
  <c r="G104" i="1"/>
  <c r="C105" i="1"/>
  <c r="E105" i="1"/>
  <c r="G105" i="1"/>
  <c r="C106" i="1"/>
  <c r="E106" i="1"/>
  <c r="G106" i="1"/>
  <c r="C107" i="1"/>
  <c r="E107" i="1"/>
  <c r="G107" i="1"/>
  <c r="C108" i="1"/>
  <c r="E108" i="1"/>
  <c r="G108" i="1"/>
  <c r="C109" i="1"/>
  <c r="E109" i="1"/>
  <c r="G109" i="1"/>
  <c r="C110" i="1"/>
  <c r="E110" i="1"/>
  <c r="G110" i="1"/>
  <c r="C111" i="1"/>
  <c r="E111" i="1"/>
  <c r="G111" i="1"/>
  <c r="C112" i="1"/>
  <c r="E112" i="1"/>
  <c r="G112" i="1"/>
  <c r="C113" i="1"/>
  <c r="E113" i="1"/>
  <c r="G113" i="1"/>
  <c r="C114" i="1"/>
  <c r="E114" i="1"/>
  <c r="G114" i="1"/>
  <c r="C115" i="1"/>
  <c r="E115" i="1"/>
  <c r="G115" i="1"/>
  <c r="C116" i="1"/>
  <c r="E116" i="1"/>
  <c r="G116" i="1"/>
  <c r="C117" i="1"/>
  <c r="E117" i="1"/>
  <c r="G117" i="1"/>
  <c r="C118" i="1"/>
  <c r="E118" i="1"/>
  <c r="G118" i="1"/>
  <c r="C119" i="1"/>
  <c r="E119" i="1"/>
  <c r="G119" i="1"/>
  <c r="C120" i="1"/>
  <c r="E120" i="1"/>
  <c r="G120" i="1"/>
  <c r="C121" i="1"/>
  <c r="E121" i="1"/>
  <c r="G121" i="1"/>
  <c r="C122" i="1"/>
  <c r="E122" i="1"/>
  <c r="G122" i="1"/>
  <c r="C123" i="1"/>
  <c r="E123" i="1"/>
  <c r="G123" i="1"/>
  <c r="C124" i="1"/>
  <c r="E124" i="1"/>
  <c r="G124" i="1"/>
  <c r="C125" i="1"/>
  <c r="E125" i="1"/>
  <c r="G125" i="1"/>
  <c r="C126" i="1"/>
  <c r="E126" i="1"/>
  <c r="G126" i="1"/>
  <c r="C127" i="1"/>
  <c r="E127" i="1"/>
  <c r="G127" i="1"/>
  <c r="C128" i="1"/>
  <c r="E128" i="1"/>
  <c r="G128" i="1"/>
  <c r="C129" i="1"/>
  <c r="E129" i="1"/>
  <c r="G129" i="1"/>
  <c r="C130" i="1"/>
  <c r="E130" i="1"/>
  <c r="G130" i="1"/>
  <c r="C131" i="1"/>
  <c r="E131" i="1"/>
  <c r="G131" i="1"/>
  <c r="C132" i="1"/>
  <c r="E132" i="1"/>
  <c r="G132" i="1"/>
  <c r="C133" i="1"/>
  <c r="E133" i="1"/>
  <c r="G133" i="1"/>
  <c r="C134" i="1"/>
  <c r="E134" i="1"/>
  <c r="G134" i="1"/>
  <c r="C135" i="1"/>
  <c r="E135" i="1"/>
  <c r="G135" i="1"/>
  <c r="C136" i="1"/>
  <c r="E136" i="1"/>
  <c r="G136" i="1"/>
  <c r="C137" i="1"/>
  <c r="E137" i="1"/>
  <c r="G137" i="1"/>
  <c r="C138" i="1"/>
  <c r="E138" i="1"/>
  <c r="G138" i="1"/>
  <c r="C139" i="1"/>
  <c r="E139" i="1"/>
  <c r="G139" i="1"/>
  <c r="C140" i="1"/>
  <c r="E140" i="1"/>
  <c r="G140" i="1"/>
  <c r="C141" i="1"/>
  <c r="E141" i="1"/>
  <c r="G141" i="1"/>
  <c r="C142" i="1"/>
  <c r="E142" i="1"/>
  <c r="G142" i="1"/>
  <c r="C143" i="1"/>
  <c r="E143" i="1"/>
  <c r="G143" i="1"/>
  <c r="C144" i="1"/>
  <c r="E144" i="1"/>
  <c r="G144" i="1"/>
  <c r="C145" i="1"/>
  <c r="E145" i="1"/>
  <c r="G145" i="1"/>
  <c r="C146" i="1"/>
  <c r="E146" i="1"/>
  <c r="G146" i="1"/>
  <c r="C147" i="1"/>
  <c r="E147" i="1"/>
  <c r="G147" i="1"/>
  <c r="C148" i="1"/>
  <c r="E148" i="1"/>
  <c r="G148" i="1"/>
  <c r="C149" i="1"/>
  <c r="E149" i="1"/>
  <c r="G149" i="1"/>
  <c r="C150" i="1"/>
  <c r="E150" i="1"/>
  <c r="G150" i="1"/>
  <c r="C151" i="1"/>
  <c r="E151" i="1"/>
  <c r="G151" i="1"/>
  <c r="C152" i="1"/>
  <c r="E152" i="1"/>
  <c r="G152" i="1"/>
  <c r="C153" i="1"/>
  <c r="E153" i="1"/>
  <c r="G153" i="1"/>
  <c r="C154" i="1"/>
  <c r="E154" i="1"/>
  <c r="G154" i="1"/>
  <c r="C155" i="1"/>
  <c r="E155" i="1"/>
  <c r="G155" i="1"/>
  <c r="C156" i="1"/>
  <c r="E156" i="1"/>
  <c r="G156" i="1"/>
  <c r="C157" i="1"/>
  <c r="E157" i="1"/>
  <c r="G157" i="1"/>
  <c r="C158" i="1"/>
  <c r="E158" i="1"/>
  <c r="G158" i="1"/>
  <c r="C159" i="1"/>
  <c r="E159" i="1"/>
  <c r="G159" i="1"/>
  <c r="C160" i="1"/>
  <c r="E160" i="1"/>
  <c r="G160" i="1"/>
  <c r="C161" i="1"/>
  <c r="E161" i="1"/>
  <c r="G161" i="1"/>
  <c r="C162" i="1"/>
  <c r="E162" i="1"/>
  <c r="G162" i="1"/>
  <c r="C163" i="1"/>
  <c r="E163" i="1"/>
  <c r="G163" i="1"/>
  <c r="C164" i="1"/>
  <c r="E164" i="1"/>
  <c r="G164" i="1"/>
  <c r="C165" i="1"/>
  <c r="E165" i="1"/>
  <c r="G165" i="1"/>
  <c r="C166" i="1"/>
  <c r="E166" i="1"/>
  <c r="G166" i="1"/>
  <c r="C167" i="1"/>
  <c r="E167" i="1"/>
  <c r="G167" i="1"/>
  <c r="C168" i="1"/>
  <c r="E168" i="1"/>
  <c r="G168" i="1"/>
  <c r="C169" i="1"/>
  <c r="E169" i="1"/>
  <c r="G169" i="1"/>
  <c r="C170" i="1"/>
  <c r="E170" i="1"/>
  <c r="G170" i="1"/>
  <c r="C171" i="1"/>
  <c r="G171" i="1"/>
  <c r="C172" i="1"/>
  <c r="E172" i="1"/>
  <c r="G172" i="1"/>
  <c r="C173" i="1"/>
  <c r="E173" i="1"/>
  <c r="G173" i="1"/>
  <c r="C174" i="1"/>
  <c r="E174" i="1"/>
  <c r="G174" i="1"/>
  <c r="C175" i="1"/>
  <c r="E175" i="1"/>
  <c r="G175" i="1"/>
  <c r="C176" i="1"/>
  <c r="E176" i="1"/>
  <c r="G176" i="1"/>
  <c r="C177" i="1"/>
  <c r="E177" i="1"/>
  <c r="G177" i="1"/>
  <c r="C178" i="1"/>
  <c r="E178" i="1"/>
  <c r="G178" i="1"/>
  <c r="C179" i="1"/>
  <c r="E179" i="1"/>
  <c r="G179" i="1"/>
  <c r="C180" i="1"/>
  <c r="E180" i="1"/>
  <c r="G180" i="1"/>
  <c r="C181" i="1"/>
  <c r="E181" i="1"/>
  <c r="G181" i="1"/>
  <c r="C182" i="1"/>
  <c r="E182" i="1"/>
  <c r="G182" i="1"/>
  <c r="C183" i="1"/>
  <c r="E183" i="1"/>
  <c r="G183" i="1"/>
  <c r="C184" i="1"/>
  <c r="G184" i="1"/>
  <c r="C185" i="1"/>
  <c r="E185" i="1"/>
  <c r="G185" i="1"/>
  <c r="C186" i="1"/>
  <c r="E186" i="1"/>
  <c r="G186" i="1"/>
  <c r="C187" i="1"/>
  <c r="E187" i="1"/>
  <c r="G187" i="1"/>
  <c r="C188" i="1"/>
  <c r="E188" i="1"/>
  <c r="G188" i="1"/>
  <c r="C189" i="1"/>
  <c r="E189" i="1"/>
  <c r="G189" i="1"/>
  <c r="C190" i="1"/>
  <c r="E190" i="1"/>
  <c r="G190" i="1"/>
  <c r="C191" i="1"/>
  <c r="E191" i="1"/>
  <c r="G191" i="1"/>
  <c r="C192" i="1"/>
  <c r="E192" i="1"/>
  <c r="G192" i="1"/>
  <c r="C193" i="1"/>
  <c r="E193" i="1"/>
  <c r="G193" i="1"/>
  <c r="C194" i="1"/>
  <c r="E194" i="1"/>
  <c r="G194" i="1"/>
  <c r="C195" i="1"/>
  <c r="E195" i="1"/>
  <c r="G195" i="1"/>
  <c r="C196" i="1"/>
  <c r="E196" i="1"/>
  <c r="G196" i="1"/>
  <c r="C197" i="1"/>
  <c r="E197" i="1"/>
  <c r="G197" i="1"/>
  <c r="C198" i="1"/>
  <c r="E198" i="1"/>
  <c r="G198" i="1"/>
  <c r="C199" i="1"/>
  <c r="E199" i="1"/>
  <c r="G199" i="1"/>
  <c r="C200" i="1"/>
  <c r="E200" i="1"/>
  <c r="G200" i="1"/>
  <c r="C201" i="1"/>
  <c r="E201" i="1"/>
  <c r="G201" i="1"/>
  <c r="C202" i="1"/>
  <c r="E202" i="1"/>
  <c r="G202" i="1"/>
  <c r="C203" i="1"/>
  <c r="E203" i="1"/>
  <c r="G203" i="1"/>
  <c r="C204" i="1"/>
  <c r="E204" i="1"/>
  <c r="G204" i="1"/>
  <c r="C205" i="1"/>
  <c r="E205" i="1"/>
  <c r="G205" i="1"/>
  <c r="C206" i="1"/>
  <c r="E206" i="1"/>
  <c r="G206" i="1"/>
  <c r="C207" i="1"/>
  <c r="E207" i="1"/>
  <c r="G207" i="1"/>
  <c r="C208" i="1"/>
  <c r="E208" i="1"/>
  <c r="G208" i="1"/>
  <c r="C209" i="1"/>
  <c r="E209" i="1"/>
  <c r="G209" i="1"/>
  <c r="C210" i="1"/>
  <c r="E210" i="1"/>
  <c r="G210" i="1"/>
  <c r="C211" i="1"/>
  <c r="E211" i="1"/>
  <c r="G211" i="1"/>
  <c r="C212" i="1"/>
  <c r="E212" i="1"/>
  <c r="G212" i="1"/>
  <c r="C213" i="1"/>
  <c r="E213" i="1"/>
  <c r="G213" i="1"/>
  <c r="C214" i="1"/>
  <c r="E214" i="1"/>
  <c r="G214" i="1"/>
  <c r="C215" i="1"/>
  <c r="E215" i="1"/>
  <c r="G215" i="1"/>
  <c r="C216" i="1"/>
  <c r="E216" i="1"/>
  <c r="G216" i="1"/>
  <c r="C217" i="1"/>
  <c r="E217" i="1"/>
  <c r="G217" i="1"/>
  <c r="C218" i="1"/>
  <c r="E218" i="1"/>
  <c r="G218" i="1"/>
  <c r="C219" i="1"/>
  <c r="E219" i="1"/>
  <c r="G219" i="1"/>
  <c r="C220" i="1"/>
  <c r="E220" i="1"/>
  <c r="G220" i="1"/>
  <c r="C221" i="1"/>
  <c r="E221" i="1"/>
  <c r="G221" i="1"/>
  <c r="C222" i="1"/>
  <c r="E222" i="1"/>
  <c r="G222" i="1"/>
  <c r="C223" i="1"/>
  <c r="E223" i="1"/>
  <c r="G223" i="1"/>
  <c r="C224" i="1"/>
  <c r="E224" i="1"/>
  <c r="G224" i="1"/>
  <c r="C225" i="1"/>
  <c r="E225" i="1"/>
  <c r="G225" i="1"/>
  <c r="C226" i="1"/>
  <c r="E226" i="1"/>
  <c r="G226" i="1"/>
  <c r="C227" i="1"/>
  <c r="E227" i="1"/>
  <c r="G227" i="1"/>
  <c r="C228" i="1"/>
  <c r="E228" i="1"/>
  <c r="G228" i="1"/>
  <c r="C229" i="1"/>
  <c r="E229" i="1"/>
  <c r="G229" i="1"/>
  <c r="C230" i="1"/>
  <c r="E230" i="1"/>
  <c r="G230" i="1"/>
  <c r="C231" i="1"/>
  <c r="E231" i="1"/>
  <c r="G231" i="1"/>
  <c r="C232" i="1"/>
  <c r="E232" i="1"/>
  <c r="G232" i="1"/>
  <c r="C233" i="1"/>
  <c r="E233" i="1"/>
  <c r="G233" i="1"/>
  <c r="C234" i="1"/>
  <c r="E234" i="1"/>
  <c r="G234" i="1"/>
  <c r="C235" i="1"/>
  <c r="E235" i="1"/>
  <c r="G235" i="1"/>
  <c r="C236" i="1"/>
  <c r="E236" i="1"/>
  <c r="G236" i="1"/>
  <c r="C237" i="1"/>
  <c r="E237" i="1"/>
  <c r="G237" i="1"/>
  <c r="C238" i="1"/>
  <c r="E238" i="1"/>
  <c r="G238" i="1"/>
  <c r="C239" i="1"/>
  <c r="E239" i="1"/>
  <c r="G239" i="1"/>
  <c r="C240" i="1"/>
  <c r="E240" i="1"/>
  <c r="G240" i="1"/>
  <c r="C241" i="1"/>
  <c r="E241" i="1"/>
  <c r="G241" i="1"/>
  <c r="C242" i="1"/>
  <c r="E242" i="1"/>
  <c r="G242" i="1"/>
  <c r="C243" i="1"/>
  <c r="E243" i="1"/>
  <c r="G243" i="1"/>
  <c r="C244" i="1"/>
  <c r="E244" i="1"/>
  <c r="G244" i="1"/>
  <c r="C245" i="1"/>
  <c r="E245" i="1"/>
  <c r="G245" i="1"/>
  <c r="C246" i="1"/>
  <c r="E246" i="1"/>
  <c r="G246" i="1"/>
  <c r="C247" i="1"/>
  <c r="E247" i="1"/>
  <c r="G247" i="1"/>
  <c r="C248" i="1"/>
  <c r="E248" i="1"/>
  <c r="G248" i="1"/>
  <c r="C249" i="1"/>
  <c r="E249" i="1"/>
  <c r="G249" i="1"/>
  <c r="C250" i="1"/>
  <c r="E250" i="1"/>
  <c r="G250" i="1"/>
  <c r="C251" i="1"/>
  <c r="E251" i="1"/>
  <c r="G251" i="1"/>
  <c r="C252" i="1"/>
  <c r="E252" i="1"/>
  <c r="G252" i="1"/>
  <c r="C253" i="1"/>
  <c r="E253" i="1"/>
  <c r="G253" i="1"/>
  <c r="C254" i="1"/>
  <c r="E254" i="1"/>
  <c r="G254" i="1"/>
  <c r="C255" i="1"/>
  <c r="E255" i="1"/>
  <c r="G255" i="1"/>
  <c r="C256" i="1"/>
  <c r="E256" i="1"/>
  <c r="G256" i="1"/>
  <c r="C257" i="1"/>
  <c r="E257" i="1"/>
  <c r="G257" i="1"/>
  <c r="C258" i="1"/>
  <c r="G258" i="1"/>
  <c r="C259" i="1"/>
  <c r="E259" i="1"/>
  <c r="G259" i="1"/>
  <c r="C260" i="1"/>
  <c r="E260" i="1"/>
  <c r="G260" i="1"/>
  <c r="C261" i="1"/>
  <c r="E261" i="1"/>
  <c r="G261" i="1"/>
  <c r="C262" i="1"/>
  <c r="E262" i="1"/>
  <c r="G262" i="1"/>
  <c r="C263" i="1"/>
  <c r="E263" i="1"/>
  <c r="G263" i="1"/>
  <c r="C264" i="1"/>
  <c r="E264" i="1"/>
  <c r="G264" i="1"/>
  <c r="C265" i="1"/>
  <c r="G265" i="1"/>
  <c r="C266" i="1"/>
  <c r="E266" i="1"/>
  <c r="G266" i="1"/>
  <c r="C267" i="1"/>
  <c r="E267" i="1"/>
  <c r="G267" i="1"/>
  <c r="C268" i="1"/>
  <c r="E268" i="1"/>
  <c r="G268" i="1"/>
  <c r="C269" i="1"/>
  <c r="E269" i="1"/>
  <c r="G269" i="1"/>
  <c r="C270" i="1"/>
  <c r="G270" i="1"/>
  <c r="C271" i="1"/>
  <c r="G271" i="1"/>
  <c r="C272" i="1"/>
  <c r="E272" i="1"/>
  <c r="G272" i="1"/>
  <c r="C273" i="1"/>
  <c r="E273" i="1"/>
  <c r="G273" i="1"/>
  <c r="C274" i="1"/>
  <c r="E274" i="1"/>
  <c r="G274" i="1"/>
  <c r="C275" i="1"/>
  <c r="G275" i="1"/>
  <c r="C276" i="1"/>
  <c r="G276" i="1"/>
  <c r="C277" i="1"/>
  <c r="G277" i="1"/>
  <c r="C278" i="1"/>
  <c r="G278" i="1"/>
  <c r="C279" i="1"/>
  <c r="G279" i="1"/>
  <c r="C280" i="1"/>
  <c r="G280" i="1"/>
  <c r="C281" i="1"/>
  <c r="G281" i="1"/>
  <c r="C282" i="1"/>
  <c r="G282" i="1"/>
  <c r="C283" i="1"/>
  <c r="G283" i="1"/>
  <c r="C284" i="1"/>
  <c r="G284" i="1"/>
  <c r="C285" i="1"/>
  <c r="G285" i="1"/>
  <c r="C286" i="1"/>
  <c r="G286" i="1"/>
  <c r="C287" i="1"/>
  <c r="G287" i="1"/>
  <c r="C288" i="1"/>
  <c r="G288" i="1"/>
  <c r="C289" i="1"/>
  <c r="G289" i="1"/>
  <c r="C290" i="1"/>
  <c r="G290" i="1"/>
  <c r="C291" i="1"/>
  <c r="G291" i="1"/>
  <c r="C292" i="1"/>
  <c r="E292" i="1"/>
  <c r="G292" i="1"/>
  <c r="C293" i="1"/>
  <c r="G293" i="1"/>
  <c r="C294" i="1"/>
  <c r="E294" i="1"/>
  <c r="G294" i="1"/>
  <c r="C295" i="1"/>
  <c r="E295" i="1"/>
  <c r="G295" i="1"/>
  <c r="C296" i="1"/>
  <c r="E296" i="1"/>
  <c r="G296" i="1"/>
  <c r="C297" i="1"/>
  <c r="E297" i="1"/>
  <c r="G297" i="1"/>
  <c r="C298" i="1"/>
  <c r="E298" i="1"/>
  <c r="G298" i="1"/>
  <c r="C299" i="1"/>
  <c r="G299" i="1"/>
  <c r="C300" i="1"/>
  <c r="G300" i="1"/>
  <c r="C301" i="1"/>
  <c r="E301" i="1"/>
  <c r="G301" i="1"/>
  <c r="C302" i="1"/>
  <c r="E302" i="1"/>
  <c r="G302" i="1"/>
  <c r="C303" i="1"/>
  <c r="G303" i="1"/>
  <c r="C304" i="1"/>
  <c r="E304" i="1"/>
  <c r="G304" i="1"/>
  <c r="C305" i="1"/>
  <c r="E305" i="1"/>
  <c r="G305" i="1"/>
  <c r="C306" i="1"/>
  <c r="E306" i="1"/>
  <c r="G306" i="1"/>
  <c r="C307" i="1"/>
  <c r="E307" i="1"/>
  <c r="G307" i="1"/>
  <c r="C308" i="1"/>
  <c r="E308" i="1"/>
  <c r="G308" i="1"/>
  <c r="C309" i="1"/>
  <c r="E309" i="1"/>
  <c r="G309" i="1"/>
  <c r="C310" i="1"/>
  <c r="E310" i="1"/>
  <c r="G310" i="1"/>
  <c r="C311" i="1"/>
  <c r="E311" i="1"/>
  <c r="G311" i="1"/>
  <c r="C312" i="1"/>
  <c r="E312" i="1"/>
  <c r="G312" i="1"/>
  <c r="C313" i="1"/>
  <c r="E313" i="1"/>
  <c r="G313" i="1"/>
  <c r="C314" i="1"/>
  <c r="E314" i="1"/>
  <c r="G314" i="1"/>
  <c r="C315" i="1"/>
  <c r="E315" i="1"/>
  <c r="G315" i="1"/>
  <c r="C316" i="1"/>
  <c r="E316" i="1"/>
  <c r="G316" i="1"/>
  <c r="C317" i="1"/>
  <c r="E317" i="1"/>
  <c r="G317" i="1"/>
  <c r="C318" i="1"/>
  <c r="E318" i="1"/>
  <c r="G318" i="1"/>
  <c r="C319" i="1"/>
  <c r="E319" i="1"/>
  <c r="G319" i="1"/>
  <c r="C320" i="1"/>
  <c r="E320" i="1"/>
  <c r="G320" i="1"/>
  <c r="C321" i="1"/>
  <c r="E321" i="1"/>
  <c r="G321" i="1"/>
  <c r="C322" i="1"/>
  <c r="E322" i="1"/>
  <c r="G322" i="1"/>
  <c r="C323" i="1"/>
  <c r="E323" i="1"/>
  <c r="G323" i="1"/>
  <c r="C324" i="1"/>
  <c r="E324" i="1"/>
  <c r="G324" i="1"/>
  <c r="C325" i="1"/>
  <c r="E325" i="1"/>
  <c r="G325" i="1"/>
  <c r="C326" i="1"/>
  <c r="E326" i="1"/>
  <c r="G326" i="1"/>
  <c r="C327" i="1"/>
  <c r="E327" i="1"/>
  <c r="G327" i="1"/>
  <c r="C328" i="1"/>
  <c r="E328" i="1"/>
  <c r="G328" i="1"/>
  <c r="C329" i="1"/>
  <c r="E329" i="1"/>
  <c r="G329" i="1"/>
  <c r="C330" i="1"/>
  <c r="E330" i="1"/>
  <c r="G330" i="1"/>
  <c r="C331" i="1"/>
  <c r="E331" i="1"/>
  <c r="G331" i="1"/>
  <c r="C332" i="1"/>
  <c r="E332" i="1"/>
  <c r="G332" i="1"/>
  <c r="C333" i="1"/>
  <c r="E333" i="1"/>
  <c r="G333" i="1"/>
  <c r="C334" i="1"/>
  <c r="G334" i="1"/>
  <c r="C335" i="1"/>
  <c r="E335" i="1"/>
  <c r="G335" i="1"/>
  <c r="C336" i="1"/>
  <c r="E336" i="1"/>
  <c r="G336" i="1"/>
  <c r="C337" i="1"/>
  <c r="E337" i="1"/>
  <c r="G337" i="1"/>
  <c r="C338" i="1"/>
  <c r="E338" i="1"/>
  <c r="G338" i="1"/>
  <c r="C339" i="1"/>
  <c r="E339" i="1"/>
  <c r="G339" i="1"/>
  <c r="C340" i="1"/>
  <c r="E340" i="1"/>
  <c r="G340" i="1"/>
  <c r="C341" i="1"/>
  <c r="E341" i="1"/>
  <c r="G341" i="1"/>
  <c r="C342" i="1"/>
  <c r="E342" i="1"/>
  <c r="G342" i="1"/>
  <c r="C343" i="1"/>
  <c r="E343" i="1"/>
  <c r="G343" i="1"/>
  <c r="C344" i="1"/>
  <c r="E344" i="1"/>
  <c r="G344" i="1"/>
  <c r="C345" i="1"/>
  <c r="E345" i="1"/>
  <c r="G345" i="1"/>
  <c r="C346" i="1"/>
  <c r="E346" i="1"/>
  <c r="G346" i="1"/>
  <c r="C347" i="1"/>
  <c r="E347" i="1"/>
  <c r="G347" i="1"/>
  <c r="C348" i="1"/>
  <c r="E348" i="1"/>
  <c r="G348" i="1"/>
  <c r="C349" i="1"/>
  <c r="E349" i="1"/>
  <c r="G349" i="1"/>
  <c r="C350" i="1"/>
  <c r="E350" i="1"/>
  <c r="G350" i="1"/>
  <c r="C351" i="1"/>
  <c r="E351" i="1"/>
  <c r="G351" i="1"/>
  <c r="C352" i="1"/>
  <c r="E352" i="1"/>
  <c r="G352" i="1"/>
  <c r="C353" i="1"/>
  <c r="E353" i="1"/>
  <c r="G353" i="1"/>
  <c r="C354" i="1"/>
  <c r="E354" i="1"/>
  <c r="G354" i="1"/>
  <c r="C355" i="1"/>
  <c r="E355" i="1"/>
  <c r="G355" i="1"/>
  <c r="C356" i="1"/>
  <c r="E356" i="1"/>
  <c r="G356" i="1"/>
  <c r="C357" i="1"/>
  <c r="E357" i="1"/>
  <c r="G357" i="1"/>
  <c r="C358" i="1"/>
  <c r="E358" i="1"/>
  <c r="G358" i="1"/>
  <c r="C359" i="1"/>
  <c r="E359" i="1"/>
  <c r="G359" i="1"/>
  <c r="C360" i="1"/>
  <c r="E360" i="1"/>
  <c r="G360" i="1"/>
  <c r="C361" i="1"/>
  <c r="E361" i="1"/>
  <c r="G361" i="1"/>
  <c r="C362" i="1"/>
  <c r="E362" i="1"/>
  <c r="G362" i="1"/>
  <c r="C363" i="1"/>
  <c r="E363" i="1"/>
  <c r="G363" i="1"/>
  <c r="C364" i="1"/>
  <c r="E364" i="1"/>
  <c r="G364" i="1"/>
  <c r="C365" i="1"/>
  <c r="E365" i="1"/>
  <c r="G365" i="1"/>
  <c r="C366" i="1"/>
  <c r="E366" i="1"/>
  <c r="G366" i="1"/>
  <c r="C367" i="1"/>
  <c r="E367" i="1"/>
  <c r="G367" i="1"/>
  <c r="C368" i="1"/>
  <c r="E368" i="1"/>
  <c r="G368" i="1"/>
  <c r="C369" i="1"/>
  <c r="E369" i="1"/>
  <c r="G369" i="1"/>
  <c r="C370" i="1"/>
  <c r="E370" i="1"/>
  <c r="G370" i="1"/>
  <c r="C371" i="1"/>
  <c r="E371" i="1"/>
  <c r="G371" i="1"/>
  <c r="C372" i="1"/>
  <c r="E372" i="1"/>
  <c r="G372" i="1"/>
  <c r="C373" i="1"/>
  <c r="E373" i="1"/>
  <c r="G373" i="1"/>
  <c r="C374" i="1"/>
  <c r="E374" i="1"/>
  <c r="G374" i="1"/>
  <c r="C375" i="1"/>
  <c r="G375" i="1"/>
  <c r="C376" i="1"/>
  <c r="E376" i="1"/>
  <c r="G376" i="1"/>
  <c r="C377" i="1"/>
  <c r="E377" i="1"/>
  <c r="G377" i="1"/>
  <c r="C378" i="1"/>
  <c r="G378" i="1"/>
  <c r="C379" i="1"/>
  <c r="G379" i="1"/>
  <c r="C380" i="1"/>
  <c r="G380" i="1"/>
  <c r="C381" i="1"/>
  <c r="G381" i="1"/>
  <c r="C382" i="1"/>
  <c r="G382" i="1"/>
  <c r="C383" i="1"/>
  <c r="E383" i="1"/>
  <c r="G383" i="1"/>
  <c r="C384" i="1"/>
  <c r="G384" i="1"/>
  <c r="C385" i="1"/>
  <c r="E385" i="1"/>
  <c r="G385" i="1"/>
  <c r="C386" i="1"/>
  <c r="E386" i="1"/>
  <c r="G386" i="1"/>
  <c r="C387" i="1"/>
  <c r="E387" i="1"/>
  <c r="G387" i="1"/>
  <c r="C388" i="1"/>
  <c r="G388" i="1"/>
  <c r="C389" i="1"/>
  <c r="G389" i="1"/>
  <c r="C390" i="1"/>
  <c r="G390" i="1"/>
  <c r="C391" i="1"/>
  <c r="G391" i="1"/>
  <c r="C392" i="1"/>
  <c r="G392" i="1"/>
  <c r="C393" i="1"/>
  <c r="G393" i="1"/>
  <c r="C394" i="1"/>
  <c r="G394" i="1"/>
  <c r="C395" i="1"/>
  <c r="G395" i="1"/>
  <c r="C396" i="1"/>
  <c r="G396" i="1"/>
  <c r="C397" i="1"/>
  <c r="G397" i="1"/>
  <c r="C398" i="1"/>
  <c r="G398" i="1"/>
  <c r="C399" i="1"/>
  <c r="G399" i="1"/>
  <c r="C400" i="1"/>
  <c r="G400" i="1"/>
  <c r="C401" i="1"/>
  <c r="G401" i="1"/>
  <c r="C402" i="1"/>
  <c r="G402" i="1"/>
  <c r="C403" i="1"/>
  <c r="G403" i="1"/>
  <c r="C404" i="1"/>
  <c r="G404" i="1"/>
  <c r="C405" i="1"/>
  <c r="G405" i="1"/>
  <c r="C406" i="1"/>
  <c r="G406" i="1"/>
  <c r="C407" i="1"/>
  <c r="E407" i="1"/>
  <c r="G407" i="1"/>
  <c r="C408" i="1"/>
  <c r="E408" i="1"/>
  <c r="G408" i="1"/>
  <c r="C409" i="1"/>
  <c r="G409" i="1"/>
  <c r="C410" i="1"/>
  <c r="G410" i="1"/>
  <c r="C411" i="1"/>
  <c r="G411" i="1"/>
  <c r="C412" i="1"/>
  <c r="G412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</calcChain>
</file>

<file path=xl/sharedStrings.xml><?xml version="1.0" encoding="utf-8"?>
<sst xmlns="http://schemas.openxmlformats.org/spreadsheetml/2006/main" count="2571" uniqueCount="394">
  <si>
    <t>Dispensa/Inexigibilidade de Licitação</t>
  </si>
  <si>
    <t>Preceito Legal</t>
  </si>
  <si>
    <t>Número do Processo</t>
  </si>
  <si>
    <t>Data do Empenho</t>
  </si>
  <si>
    <t>Objeto</t>
  </si>
  <si>
    <t>Elemento e SubElemento da Despesa</t>
  </si>
  <si>
    <t>Número do Empenho</t>
  </si>
  <si>
    <t>Valor do Empenho</t>
  </si>
  <si>
    <t>Contratado(a)</t>
  </si>
  <si>
    <t>CNPJ/CPF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</si>
  <si>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</si>
  <si>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</si>
  <si>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</si>
  <si>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</si>
  <si>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</si>
  <si>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</si>
  <si>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</si>
  <si>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</si>
  <si>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</si>
  <si>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</si>
  <si>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WR ENGENHARIA LTDA</t>
  </si>
  <si>
    <t>MJ IMOBILIÁRIA LTDA</t>
  </si>
  <si>
    <t>TFL SERVICOS DE ADMINISTRACAO DE BENS LTDA</t>
  </si>
  <si>
    <t>RESULT CONSTRUCOES EIRELI</t>
  </si>
  <si>
    <t>RAUHA PARTICIPACOES SA</t>
  </si>
  <si>
    <t>IMOBILIARIA LUIS GONZAGA TEIXEIRA LTDA</t>
  </si>
  <si>
    <t>J CIDRAO MASSILON EIRELI</t>
  </si>
  <si>
    <t>M&amp;M PARTICIPAÇÕES LTDA</t>
  </si>
  <si>
    <t>B &amp; Q ENERGIA LTDA</t>
  </si>
  <si>
    <t>OLIMPO EDIFICAÇÕES LTDA</t>
  </si>
  <si>
    <t xml:space="preserve"> LIMA EMPREENDIMENTOS IMOBILIARIOS LTDA</t>
  </si>
  <si>
    <t>SERGIO DOS SANTOS SARAIVA</t>
  </si>
  <si>
    <t>GLICERIO GOMES DE MORAIS NETO</t>
  </si>
  <si>
    <t>JOSE LEITE DE ARAUJO</t>
  </si>
  <si>
    <t>FUNDACAO DE APOIO A SERVICOS TECNICOS, ENSINO E FOMENTO A PESQUISAS - FUNDACAO ASTEF</t>
  </si>
  <si>
    <t>ANTONIO CLODOALDO BATISTA DA CRUZ</t>
  </si>
  <si>
    <t>CLAUDIO ROTONDO JUNIOR</t>
  </si>
  <si>
    <t>MICHELL DO AMARAL ALMEIDA</t>
  </si>
  <si>
    <t>FRANCISO ALENCAR MACEDO</t>
  </si>
  <si>
    <t>MARIA NOEME HOLANDA ALVES</t>
  </si>
  <si>
    <t>FRANCISCA LUCIMAR PINHEIRO PARENTE</t>
  </si>
  <si>
    <t>JOAQUIM DO O DA COSTA NETO</t>
  </si>
  <si>
    <t>BLUE STAR CENTRO EMPREENDIMENTO IMOBILIÁRIOS SPE LTDA</t>
  </si>
  <si>
    <t>WALNEY SOEIRO OSTERNO</t>
  </si>
  <si>
    <t>ANA REGINA RIBEIRO RODRIGUES</t>
  </si>
  <si>
    <t>MARIA LIDUINA SILVA GALVÃO</t>
  </si>
  <si>
    <t>ANA CLEIDE DA SILVA SANTOS DAMASCENO</t>
  </si>
  <si>
    <t>COSTA CONTABILIDADE PROCESS E ASSESSORIA</t>
  </si>
  <si>
    <t>MARINA PINHEIRO DE OLIVEIRA</t>
  </si>
  <si>
    <t xml:space="preserve">EMPRESA BRAS DE CORREIOS E TELEGRAFOS </t>
  </si>
  <si>
    <t>EMPRESA DE TECNOLOGIA DA INFORMACAO DO CEARA ETICE</t>
  </si>
  <si>
    <t>SINDICATO DAS EMPRESAS DE TRANSPORTES   DE PASSAGEIROS DO ESTADO DO CEARA</t>
  </si>
  <si>
    <t>LEME CONSULTORIA EM GESTAO DE RH LTDA</t>
  </si>
  <si>
    <t>A.R IMOBILIÁRIA LTDA</t>
  </si>
  <si>
    <t>IBM BRASIL-INDUSTRIA MAQUINAS E SERVICOS LIMITADA</t>
  </si>
  <si>
    <t>GPBR PARTICIPACOES LTDA.</t>
  </si>
  <si>
    <t>SEGUROS SURA S.A</t>
  </si>
  <si>
    <t>DIGITRO TECNOLOGIA S.A.</t>
  </si>
  <si>
    <t>ARKLOK - EQUIPAMENTOS DE INFORMÁTICA S.A,</t>
  </si>
  <si>
    <t>SERVICO AUTONOMO DE AGUA E ESGOTO DE IGUATU</t>
  </si>
  <si>
    <t>JOSE ALMEIDA DE OLIVEIRA</t>
  </si>
  <si>
    <t xml:space="preserve">SAAE DE ITAPAJE                         </t>
  </si>
  <si>
    <t xml:space="preserve">SAAE DE JAGUARIBE </t>
  </si>
  <si>
    <t xml:space="preserve"> GEMELO DO BRASIL S/A </t>
  </si>
  <si>
    <t>SAAEJ - SERVIÇO AUTONÔMO DE ÁGUA E ESGOTO DE JARDIM</t>
  </si>
  <si>
    <t>SAAE DE JUCAS</t>
  </si>
  <si>
    <t>SERVIÇO AUTÔNOMO DE ÁGUA E ESGOTO DE LIMOEIRO DO NORTE</t>
  </si>
  <si>
    <t xml:space="preserve">SAAE DE MORADA NOVA                     </t>
  </si>
  <si>
    <t>SERVIÇO AUTÔNOMO DE ÁGUA E ESGOTO DE SOBRAL</t>
  </si>
  <si>
    <t>GARTNER DO BRASIL SERV DE PESQUISAS LTDA</t>
  </si>
  <si>
    <t>SOFTPLAN PLANEJAMENTO E SISTEMAS LTDA</t>
  </si>
  <si>
    <t xml:space="preserve">SAAE DE SOLONOPOLE </t>
  </si>
  <si>
    <t>COMPANHIA DE AGUA E ESGOTO DO CEARA CAGECE</t>
  </si>
  <si>
    <t>PREFEITURA MUNICIPAL DE BREJO SANTO</t>
  </si>
  <si>
    <t xml:space="preserve">SAAE DE CANINDE </t>
  </si>
  <si>
    <t>AMBIENTAL CRATO CONCESSIONARIA DE SANEAMENTO SPE S.A</t>
  </si>
  <si>
    <t>WJGV CONSTRUÇÕES E SERVIÇOS IMOBILIARIOS LTDA</t>
  </si>
  <si>
    <t>SERVICO AUTONOMO DE AGUA E ESGOTO DE QUIXERAMOBIM</t>
  </si>
  <si>
    <t>SAAE SERV AUTONOMO AGUA ESGOTO GRANJA</t>
  </si>
  <si>
    <t xml:space="preserve">SAAE DE ICO                             </t>
  </si>
  <si>
    <t>GEOAMBIENTE SENSORIAMENTO REMOTO LTDA</t>
  </si>
  <si>
    <t>TECHBIZ FORENSE DIGITAL LTDA</t>
  </si>
  <si>
    <t>IRANILDA BARROSO DE LIMA</t>
  </si>
  <si>
    <t>CÉLIA DE AGUIAR PRADO</t>
  </si>
  <si>
    <t>MACIEL CONSTRUCOES E TERRAPLANAGENS S.A</t>
  </si>
  <si>
    <t xml:space="preserve">TK ELEVADORES BRASIL LTDA </t>
  </si>
  <si>
    <t>J&amp;C PARTICIPAÇÕES LTDA</t>
  </si>
  <si>
    <t>CLINICA MEDICA MAIS SAUDE LTDA</t>
  </si>
  <si>
    <t>ARY FONTENELE BATISTA</t>
  </si>
  <si>
    <t>JULIO BERNARDINO DA SILVA NETO</t>
  </si>
  <si>
    <t>DIANA PAULA FONTENELE MAGALHÃES</t>
  </si>
  <si>
    <t>MARIA IZETE ROCHA DE MATOS</t>
  </si>
  <si>
    <t>INSTITUTO NEGOCIOS PUBLICOS DO BRASIL - ESTUDOS E PESQUISAS NA ADMNIISTRACAO PUBLICA - INP - LTDA</t>
  </si>
  <si>
    <t>Y T CONSTRUÇÕES EIRELI</t>
  </si>
  <si>
    <t>ML EMPREENDIMENTOS E CONSULTORIA EDUCACIONAL LTDA</t>
  </si>
  <si>
    <t>ÁRTÉNA SABER ON-LINE LTDA</t>
  </si>
  <si>
    <t>DJ- HOTELARIA S.A</t>
  </si>
  <si>
    <t>META CURSOS E TREINAMENTOS LTDA</t>
  </si>
  <si>
    <t>DAYANE DO COSMO MARTINS</t>
  </si>
  <si>
    <t xml:space="preserve">SERH SERVIÇOS ESPECIALIZADOS EM REC HUMANOS SS LTDA </t>
  </si>
  <si>
    <t>INSTITUTO EUVALDO LODI NUCLEO DO CEARA</t>
  </si>
  <si>
    <t>ALEXANDRO MAURO DE ANDRADE</t>
  </si>
  <si>
    <t>PORTO SEGURO COMPANHIA DE SEGUROS GERAIS</t>
  </si>
  <si>
    <t>VERIFACT TECNOLOGIA LTDA</t>
  </si>
  <si>
    <t xml:space="preserve">SOBRALNET SERVICOS E TELECOMUNICACOES LTDA-ME </t>
  </si>
  <si>
    <t>GREGORI FIORINI PRODUÇÕES AUDIOVISUAIS E ARTÍSTICAS LTDA</t>
  </si>
  <si>
    <t>MAPDATA TECNOLOGIA, INFORMÁTICA E COMÉRCIO LTDA</t>
  </si>
  <si>
    <t>LILIA ALVES DA SILVA</t>
  </si>
  <si>
    <t xml:space="preserve">YO FITNESS LTDA </t>
  </si>
  <si>
    <t>PANORAMA COMÉRCIO DE PRODUTOS MÉDICOS E FARMACÊUTICOS LTDA</t>
  </si>
  <si>
    <t>PROHOSPITAL COMERCIO HOLANDA LTDA</t>
  </si>
  <si>
    <t>DISPENSA</t>
  </si>
  <si>
    <t>Lei 8.666/1993, art.24, X.</t>
  </si>
  <si>
    <t>339036 - 12 - 2083.10</t>
  </si>
  <si>
    <t>19556292349</t>
  </si>
  <si>
    <t>Lei 8.666/93, art. 24, X.</t>
  </si>
  <si>
    <t>77748638349</t>
  </si>
  <si>
    <t>339036 - 12 - 2084.11</t>
  </si>
  <si>
    <t>49090674349</t>
  </si>
  <si>
    <t>339039 - 14 - 2144.07</t>
  </si>
  <si>
    <t>22588967000179</t>
  </si>
  <si>
    <t>339039 - 14 - 2159.20</t>
  </si>
  <si>
    <t>INEXIGIBILIDADE</t>
  </si>
  <si>
    <t>Lei n° 14.133/2021, art. 74.</t>
  </si>
  <si>
    <t>31014895391</t>
  </si>
  <si>
    <t>Lei 14.133/2021, art. 74, V.</t>
  </si>
  <si>
    <t>84738480391</t>
  </si>
  <si>
    <t>91495059391</t>
  </si>
  <si>
    <t>35165286215</t>
  </si>
  <si>
    <t>20941439372</t>
  </si>
  <si>
    <t>ROSANA MAIA DA SILVA</t>
  </si>
  <si>
    <t>3987146303</t>
  </si>
  <si>
    <t>44114554000195</t>
  </si>
  <si>
    <t>12255352000177</t>
  </si>
  <si>
    <t>22705562000173</t>
  </si>
  <si>
    <t>11710431000168</t>
  </si>
  <si>
    <t>32697604000125</t>
  </si>
  <si>
    <t>53820857000114</t>
  </si>
  <si>
    <t>COELHO FARIAS EMPREENDIMENTOS LTDA</t>
  </si>
  <si>
    <t>48400905000185</t>
  </si>
  <si>
    <t>10507664000103</t>
  </si>
  <si>
    <t>Lei 8.666/93, art. 24, inc. X.</t>
  </si>
  <si>
    <t>41456187000110</t>
  </si>
  <si>
    <t>18904432391</t>
  </si>
  <si>
    <t>BLS EMPREENDIMENTOS &amp; PARTICIPAÇOES LTDA</t>
  </si>
  <si>
    <t>46828259000126</t>
  </si>
  <si>
    <t>Lei n° 14.133/2021, Art. 74</t>
  </si>
  <si>
    <t>1728735335</t>
  </si>
  <si>
    <t>SÁVIO ROBSON DE OLIVEIRA FONTELES</t>
  </si>
  <si>
    <t>6511969304</t>
  </si>
  <si>
    <t>7136315387</t>
  </si>
  <si>
    <t>Lei 8.666/1993, art. 24, X.</t>
  </si>
  <si>
    <t>25876988391</t>
  </si>
  <si>
    <t>46950052391</t>
  </si>
  <si>
    <t>5569807000163</t>
  </si>
  <si>
    <t>339039 - 14 - 2214.72</t>
  </si>
  <si>
    <t>7341423000114</t>
  </si>
  <si>
    <t>10508750000122</t>
  </si>
  <si>
    <t xml:space="preserve">Lei 8.666/1993 Art.24 </t>
  </si>
  <si>
    <t>Lei n° 14.133/2021, Art. 75</t>
  </si>
  <si>
    <t>AQUISIÇÃO DE TENDA PIRAMIDAL POR DISPENSA ELETRÔNICA DE LICITAÇÃO, CONFORME DISPENSA 035/2025.</t>
  </si>
  <si>
    <t>339030 - 1 - 1887.28</t>
  </si>
  <si>
    <t>ALUBAN SERVICE LTDA</t>
  </si>
  <si>
    <t>44921333000129</t>
  </si>
  <si>
    <t>HM EMPREENDIMENTOS E CONSTRUÇOES LTDA</t>
  </si>
  <si>
    <t>27383745000133</t>
  </si>
  <si>
    <t>43713017387</t>
  </si>
  <si>
    <t>ANA CARLA MESQUITA MIRANDA MAGALHÃES</t>
  </si>
  <si>
    <t>1201953308</t>
  </si>
  <si>
    <t>ATITUDE EMPREENDIMENTOS LTDA</t>
  </si>
  <si>
    <t>7798191000128</t>
  </si>
  <si>
    <t>7936046000166</t>
  </si>
  <si>
    <t>FRANCISCO NAZARENO DE FARIAS</t>
  </si>
  <si>
    <t>38194562368</t>
  </si>
  <si>
    <t>14763826000117</t>
  </si>
  <si>
    <t>PINHEIRO LIMA PATRIMONIAL LTDA</t>
  </si>
  <si>
    <t>47359289000101</t>
  </si>
  <si>
    <t>48444032000102</t>
  </si>
  <si>
    <t>29417319000107</t>
  </si>
  <si>
    <t>5817870304</t>
  </si>
  <si>
    <t>MARIA ODETE PINTO LEITE</t>
  </si>
  <si>
    <t>31514162334</t>
  </si>
  <si>
    <t>Lei 14.133/2021, art. 75, IX.</t>
  </si>
  <si>
    <t>339140 - 78 - 3093.16</t>
  </si>
  <si>
    <t>3773788000167</t>
  </si>
  <si>
    <t>339140 - 78 - 3081.08</t>
  </si>
  <si>
    <t xml:space="preserve">Lei 8.666/93 Art.25 - Caput </t>
  </si>
  <si>
    <t>EMPENHO REF. TAXA DE ÁGUA, REF. JAN, FEV E MAR/2026, POR ESTIMATIVA.</t>
  </si>
  <si>
    <t>339039 - 14 - 2184.44</t>
  </si>
  <si>
    <t>7476369000114</t>
  </si>
  <si>
    <t>5537196000171</t>
  </si>
  <si>
    <t>Lei 8.666/1993 Art.24  contrato 38/2022</t>
  </si>
  <si>
    <t>78214130387</t>
  </si>
  <si>
    <t>7508138000145</t>
  </si>
  <si>
    <t>19678451824</t>
  </si>
  <si>
    <t xml:space="preserve">SAAE DE IPU                             </t>
  </si>
  <si>
    <t>7530736000110</t>
  </si>
  <si>
    <t>339039 - 14 - 2226.86</t>
  </si>
  <si>
    <t>33065699000127</t>
  </si>
  <si>
    <t>Lei 14.133/2021, art. 74, I.</t>
  </si>
  <si>
    <t>339040 - 78 - 3081.08</t>
  </si>
  <si>
    <t>7955535000165</t>
  </si>
  <si>
    <t>7544786000157</t>
  </si>
  <si>
    <t>Lei 8.666/93, art. 25, caput.</t>
  </si>
  <si>
    <t>339040 - 78 - 2498.13</t>
  </si>
  <si>
    <t>3888247000184</t>
  </si>
  <si>
    <t xml:space="preserve">Lei 14.133/2021, art. 74, caput e inc. I._x000D_
</t>
  </si>
  <si>
    <t>82845322000104</t>
  </si>
  <si>
    <t>5722202000160</t>
  </si>
  <si>
    <t>29038683000158</t>
  </si>
  <si>
    <t>7434954000151</t>
  </si>
  <si>
    <t>7625932000179</t>
  </si>
  <si>
    <t>7676836000150</t>
  </si>
  <si>
    <t xml:space="preserve">SAAE DE NOVA RUSSAS </t>
  </si>
  <si>
    <t>7690399000129</t>
  </si>
  <si>
    <t>7742778000115</t>
  </si>
  <si>
    <t>EMPENHO REF. TAXA DE ÁGUA, REF. JAN/2026, POR ESTIMATIVA.</t>
  </si>
  <si>
    <t>7817778000137</t>
  </si>
  <si>
    <t>7852676000152</t>
  </si>
  <si>
    <t>EMPENHO REF. TAXA DE ÁGUA CAGECE- COMPANHIA DE ÁGUA E ESGOTO DO CEARÁ, REF. JAN2026, POR ESTIMATIVA.</t>
  </si>
  <si>
    <t>7040108000157</t>
  </si>
  <si>
    <t>339040 - 78 - 2495.12</t>
  </si>
  <si>
    <t>TELEFONICA BRASIL S.A.</t>
  </si>
  <si>
    <t>2558157000162</t>
  </si>
  <si>
    <t>EMPENHO REF. TAXA DE ÁGUA, REF. JAN,FEV E MAR/2026, POR ESTIMATIVA.</t>
  </si>
  <si>
    <t>45898856000164</t>
  </si>
  <si>
    <t>7113566000179</t>
  </si>
  <si>
    <t>7620701000172</t>
  </si>
  <si>
    <t>339039 - 14 - 2183.43</t>
  </si>
  <si>
    <t>COMPANHIA ENERGETICA DO CEARA - ENEL</t>
  </si>
  <si>
    <t>7047251000170</t>
  </si>
  <si>
    <t>EMPENHO REF. SERVIÇO 0800, CONF. CONVÊNIO 006/2022/SEINFRA, REF. JAN/2026, POR ESTIMATIVA.</t>
  </si>
  <si>
    <t>339039 - 14 - 2187.47</t>
  </si>
  <si>
    <t>OI S.A. - EM RECUPERACAO JUDICIAL</t>
  </si>
  <si>
    <t>76535764000143</t>
  </si>
  <si>
    <t>44231385000173</t>
  </si>
  <si>
    <t>FRANCISCO CLAUDIO ALVES DE LIMA</t>
  </si>
  <si>
    <t>21486417353</t>
  </si>
  <si>
    <t xml:space="preserve">Lei n° 14.133/2021, Art. 75 dispensa eletrônica de licitação </t>
  </si>
  <si>
    <t>AQUISIÇÃO DE CAIXAS ORGANIZADORAS E PALETES DE MADEIRA, POR DISPENSA ELETRÔNICA Nº 038/2025</t>
  </si>
  <si>
    <t>339030 - 1 - 1900.42</t>
  </si>
  <si>
    <t>GIRUS FABRICACAO DE CARRINHOS DE TRANSPORTE DE CARGA LTDA</t>
  </si>
  <si>
    <t>42164792000180</t>
  </si>
  <si>
    <t>AQUISIÇÃO DE EQUIPAMENTOS POR DISPENSA ELETRÔNICA DE LICITAÇÃO, CONFORME ORDEM DE COMPRA 001/2026. DISPENSA ELETRÔNICA 038/2025.</t>
  </si>
  <si>
    <t>449052 - 2 - 1960.62</t>
  </si>
  <si>
    <t>Lei n° 14.133/2021, Art. 74 CONTRATO 025/2024</t>
  </si>
  <si>
    <t>449040 - 78 - 3081.08</t>
  </si>
  <si>
    <t>15664649000184</t>
  </si>
  <si>
    <t xml:space="preserve">Lei 14.133/2021, art. 74, I._x000D_
</t>
  </si>
  <si>
    <t>339040 - 78 - 3083.10</t>
  </si>
  <si>
    <t>33372251006600</t>
  </si>
  <si>
    <t>33372251006278</t>
  </si>
  <si>
    <t>339040 - 78 - 3080.07</t>
  </si>
  <si>
    <t>83472803000176</t>
  </si>
  <si>
    <t>339039 - 14 - 2151.14</t>
  </si>
  <si>
    <t>INSTITUTO DE ESTUDOS PESQUISAS E PROJETOS DA UECE IEPRO</t>
  </si>
  <si>
    <t>977419000106</t>
  </si>
  <si>
    <t>339040 - 78 - 2502.06</t>
  </si>
  <si>
    <t>339039 - 14 - 2149.12</t>
  </si>
  <si>
    <t>ASSOCIACAO BRASILEIRA DE EDITORES CIENTIFICOS</t>
  </si>
  <si>
    <t>29261229000161</t>
  </si>
  <si>
    <t>339040 - 78 - 3093.16</t>
  </si>
  <si>
    <t>32797434000150</t>
  </si>
  <si>
    <t>339039 - 14 - 2207.65</t>
  </si>
  <si>
    <t>8918421000108</t>
  </si>
  <si>
    <t>339039 - 14 - 2188.01</t>
  </si>
  <si>
    <t>34028316001002</t>
  </si>
  <si>
    <t>CAMARA BRASILEIRA DO LIVRO</t>
  </si>
  <si>
    <t>60792942000181</t>
  </si>
  <si>
    <t>Lei 14.133/2021, art. 75, II.</t>
  </si>
  <si>
    <t>33757000181</t>
  </si>
  <si>
    <t>339040 - 78 - 3078.04</t>
  </si>
  <si>
    <t xml:space="preserve"> SERVICO FEDERAL DE PROCESSAMENTO DE DADOS (SERPRO)</t>
  </si>
  <si>
    <t>33683111000107</t>
  </si>
  <si>
    <t>339039 - 14 - 2143.06</t>
  </si>
  <si>
    <t>CREDILINK INFORMAÇÕES DE CRÉDITO LTDA</t>
  </si>
  <si>
    <t>2581711000122</t>
  </si>
  <si>
    <t>339140 - 78 - 2502.06</t>
  </si>
  <si>
    <t>5757597000218</t>
  </si>
  <si>
    <t>339140 - 78 - 2488.02</t>
  </si>
  <si>
    <t>Lei n° 14.133/2021, art. 74, I.</t>
  </si>
  <si>
    <t>339092 - 78 - 2505.40</t>
  </si>
  <si>
    <t>339039 - 14 - 2173.35</t>
  </si>
  <si>
    <t xml:space="preserve">LEPIDUS TECNOLOGIA LTDA - ME </t>
  </si>
  <si>
    <t>12967719000185</t>
  </si>
  <si>
    <t>339035 - 26 - 2347.01</t>
  </si>
  <si>
    <t>JJ BROADCAST SOLUCOES AUDIOVISUAIS LTDA</t>
  </si>
  <si>
    <t>47936451000107</t>
  </si>
  <si>
    <t>EMPENHO REF. TAXA DE ÁGUA CAGECE- COMPANHIA DE ÁGUA E ESGOTO DO CEARÁ, REF. MAR/2026, POR ESTIMATIVA.</t>
  </si>
  <si>
    <t>339039 - 14 - 2216.74</t>
  </si>
  <si>
    <t>Lei 8.666/93 Art.25 - Caput contrato nº 007/2023/PGJ</t>
  </si>
  <si>
    <t>MINHA BIBLIOTECA LTDA</t>
  </si>
  <si>
    <t>13183749000163</t>
  </si>
  <si>
    <t>Lei n° 14.133/2021, art. 74, III, "f".</t>
  </si>
  <si>
    <t>EMPENHO REF. PRESTAÇÃO DE SERVIÇOS ATRAVÉS DE UM CURSO COM O TEMA: MÓDULO ESPECIAL DO CURSO DE FORMAÇÃO E APERFEIÇOAMENTO DO PROMOTOR DO JÚRI, COM CARGA HORÁRIA DE 15:50H/A, PRESENCIAL, COM O INTUITO DE ATUALIZAR 100 (CEM) MEMBROS DO MPCE, NA SEDE DA"&amp;" PROCURADORIA GERAL DE JUSTIÇA (CAMBEBA), EM FORTALEZA-CE, NOS DIAS 23 E 24.04.2026, POR MEIO DE INEXIGIBILIDADE DE LICITAÇÃO, CONFORME TERMO DE DEFERIMENTO DA CONTRATAÇÃO DIRETA (DOE 2203, 27.02.2026) E ORDEM DE SERVIÇO S/N/2026/ESMP.</t>
  </si>
  <si>
    <t>IBAJ- INSTITUTO BRASILEIRO APERFEIÇOAMENTO JURÍDICO</t>
  </si>
  <si>
    <t>7036523000137</t>
  </si>
  <si>
    <t>Lei 14.133/2021, art. 74, III, “c”.</t>
  </si>
  <si>
    <t>EMPENHO REF. SERVIÇO DE FORNECIMENTO DE CURSO COM O TEMA OFICINA DE ESCRITA CRIATIVA DE CONTOS, COM REALIZAÇÃO PROGRAMADA PARA 06, 13, 20 E 27.04.2026, COM CARGA HORÁRIA DE 10H/A, NA MODALIDADE ON-LINE, PARA 30 MEMBROS E SERVIDORES QUE ATUAM NO MPCE,"&amp;" POR MEIO DE INEXIGIBILIDADE DE LICITAÇÃO, CONF. ORDEM DE SERVIÇO S/N/2026/ESMP, REF. ABR E MAI/2026.</t>
  </si>
  <si>
    <t>VANESSA PASSOS VOZ LTDA</t>
  </si>
  <si>
    <t>40382071000110</t>
  </si>
  <si>
    <t>Lei n° 14.133/2021, Art. 75 dispensa eletrônica 031/2025</t>
  </si>
  <si>
    <t>AQUISIÇÕES DE TABLETS DA SANSUNG, 10, VISANDO A MODERNIZAÇÃO E APRIMORAMENTO DE ATIVIDADES LABORAIS DESTINADO AO GRUPO DE ATUAÇÃO ESPECIAL DE COMBATE À SONEGAÇÃO FISCAL(GAESF), EM 2026 E PARA ATENDER AO CONVÊNIO Nº 936903/2022.</t>
  </si>
  <si>
    <t>449052 - 2 - 1948.51</t>
  </si>
  <si>
    <t>GLOBALBID COMERCIO E SERVICOS LTDA</t>
  </si>
  <si>
    <t>59495996000104</t>
  </si>
  <si>
    <t>EMPENHO REF. SUPLEMENTAÇÃO DA NE 2026NE000184 (SERVIÇOS TÉCNICOS ESPECIALIZADOS, VISANDO A IMPLEMENTAÇÃO DA SOLUÇÃO DE TI - PLATAFORMA WHATSAPP BUSINESS, INCLUINDO A INSTALAÇÃO, ATUALIZAÇÕES E SUPORTE TÉCNICO, CONF. CONTRATO 077/2024), TENDO EM VISTA"&amp;" QUE OCORREU CONSUMO EXCEDENTE DO ITEM CONVERSAS DE MARKETING, CONF. TERMO DE RECONHECIMENTO DE DÍVIDA 0018/2026/SEFIN, REF. JAN/2026.</t>
  </si>
  <si>
    <t>339093 - 25 - 2326.01</t>
  </si>
  <si>
    <t>FORNECIMENTO DE 700(SETECENTOS) LICENÇAS DE ACESSO A PLATAFORMA ON-LIN DE CURSOS DE APERFEIÇOAMENTO E TREINAMENTO ESPECIALIZADO CONFORME CONTRATO 019/2024</t>
  </si>
  <si>
    <t>AOVS SISTEMAS DE INFORMATICA LTDA</t>
  </si>
  <si>
    <t>5555382000133</t>
  </si>
  <si>
    <t>339040 - 78 - 3077.03</t>
  </si>
  <si>
    <t>EMPENHO REF. TAXA DE ÁGUA, REF. ABR, MAIO E JUN/2026, POR ESTIMATIVA.</t>
  </si>
  <si>
    <t>EMPENHO REF. TAXA DE ÁGUA, REF. ABR, AMIO E JUN/2026, POR ESTIMATIVA.</t>
  </si>
  <si>
    <t>EMPENHO REF. TAXA DE ÁGUA, REF. ABR, MAI E JUN/2026, POR ESTIMATIVA.</t>
  </si>
  <si>
    <t>EMPENHO REF. SERVIÇO 0800, CONF. CONVÊNIO 006/2022/SEINFRA, REF. ABR, MAIO E JUN/2026, POR ESTIMATIVA.</t>
  </si>
  <si>
    <t>EMPENHO REF. TAXA DE ÁGUA, REF. ABR/MAI/JUN 2026, POR ESTIMATIVA.</t>
  </si>
  <si>
    <t>EMPENHO REF. TAXA DE ÁGUA CAGECE- COMPANHIA DE ÁGUA E ESGOTO DO CEARÁ, REF. ABR/2026, POR ESTIMATIVA.</t>
  </si>
  <si>
    <t xml:space="preserve">ESSOR SEGUROS S.A </t>
  </si>
  <si>
    <t>14525684000150</t>
  </si>
  <si>
    <t>EMPENHO REF. SUPLEMENTAÇÃO DA NE 2025NE003020-150001 (REF. FRANQUIAS MENSAIS DE CONVERSAS NO ÂMBITO DA PLATAFORMA WHATSAPP BUSINESS, CONF. CONTRATO 077/2024), TENDO EM VISTA QUE OCORREU CONSUMO EXCEDENTE DO ITEM CONVERSAS DE MARKETING, CONF. TERMO DE"&amp;" RECONHECIMENTO DE DÍVIDA 0020/2026/SEFIN, REF. NOV E DEZ/2025.             DEA: 26001818.                  NP: 2026NP000230.</t>
  </si>
  <si>
    <t>339092 - 25 - 2344.93</t>
  </si>
  <si>
    <t>Lei 8.666/93, art. 24, inc. II.</t>
  </si>
  <si>
    <t>EMPENHO REF. FORNECIMENTO DE 20 (VINTE) CAMISETAS BALÍSTICAS DE PROTEÇÃO OCULTA, NÍVEL III-A, DESTINADAS À PROTEÇÃO PESSOAL DE MEMBROS DO MPCE DURANTE DILIGÊNCIAS EXTERNAS E OPERAÇÕES DE CAMPO, CONF. DISPENSA ELETRÔNICA 002/2026 (162/2026/COMPRASGOV)"&amp;" E ORDEM DE COMPRA 001/2026/NATI.</t>
  </si>
  <si>
    <t>449052 - 2 - 1964.66</t>
  </si>
  <si>
    <t>SARKAR TACTICAL BRASIL LTDA</t>
  </si>
  <si>
    <t>41714003000174</t>
  </si>
  <si>
    <t>Lei n° 14.133/2021, art. 75, II.</t>
  </si>
  <si>
    <t>EMPENHO REF. FORNECIMENTO DE 2.000 (DOIS MIL) APITOS PLÁSTICOS, A SEREM UTILIZADOS NAS AÇÕES DA CAMPANHA MAIO LARANJA, CONF. DISPENSA ELETRÔNICA 006/2026-ITEM 01 (169/2226/COMPRASGOV) E ORDEM DE COMPRA 001/2026/NUAVV.</t>
  </si>
  <si>
    <t>339030 - 1 - 1880.19</t>
  </si>
  <si>
    <t>JOSÉ EVILÁZIO DE FREITAS RAMOS</t>
  </si>
  <si>
    <t>33496904000109</t>
  </si>
  <si>
    <t>INSCRIÇÕES DE 05(CINCO) SERVIDORES DESTE MINISTÉRIO PÚBLICO DO CEARÁ NO CURSO IMPACTOS DA REFORMA TRIBUTÁRIA NAS CONTRATAÇÕES PÚBLICAS A SER REALIZADO NA MODALIDADE ONLINE NOS DIAS 13 A 15 DE MAIO DE 2026 COM CARGA HORÁRIA DE 12 HORAS/AULA. O CUSTO T"&amp;"OTAL DA DEMANDA CONSIDERA 04(QUATRO) INSCRIÇÕES PAGAS E 01(UMA) CORTESIA, CONFORME PROGRAMAÇÃO DO EVENTO. SERVIDORES CONTEMPLADOS: SAMANTHA ARAÚJO DE ANDRADE MEDEIROS, FRANCISCO SAMIR BARROS LEAL, CLEITON MATOS DE MORAIS, JOÃO ROBERTO VIEIRA DE MELO "&amp;"E ANTONIO MARIA SARAIVA CORREIA.</t>
  </si>
  <si>
    <t>ZENITE INFORMAÇÃO E CONSULTORIA S/A</t>
  </si>
  <si>
    <t>86781069000115</t>
  </si>
  <si>
    <t>EMPENHO REF. 02 (DUAS) INSCRIÇÕES, DE SERVIDORES DESTE MPCE, NO CURSO PRESENCIAL ALTA PERFORMANCE NA LEI Nº 14.133/2021, A SER REALIZADO NOS DIAS 19 A 21.05.2026, EM FORTALEZA-CE, CARGA HORÁRIA DE 24H/A, POR MEIO DE INEXIGIBILIDADE DE LICITAÇÃO.SERVI"&amp;"DORES:- FRANCISCO DIASSIS ALVES LEITÃO, PROMOTOR DE JUSTIÇA, TITULAR DA SUBPROCURADORIA-GERAL DE JUSTIÇA DE ADMINISTRAÇÃO; E- SAMANTHA ARAÚJO DE ANDRADE MEDEIROS XIMENES, SECRETÁRIA, TITULAR DA SECRETARIA DE AQUISIÇÕES E CONTRATOS.</t>
  </si>
  <si>
    <t>TRAINING CONSULTORIA E CAPACITACAO LTDA</t>
  </si>
  <si>
    <t>32129755000187</t>
  </si>
  <si>
    <t>Lei n° 14.133/2021.</t>
  </si>
  <si>
    <t>EMPENHO REF. AQUISIÇÃO DE 05 (CINCO) FRAGMENTADORAS DE PAPEL SECURITY 2500, COM CAPACIDADE DE FRAGMENTAÇÃO DE ATÉ 20 FOLHAS A4 (75G/M²) POR VEZ, PARA ATENDER ÀS DEMANDAS DA PROCURADORIA-GERAL DE JUSTIÇA, ESPECIALMENTE NO QUE SE REFERE À SEGURANÇA E D"&amp;"ESCARTE ADEQUADO DE DOCUMENTOS SIGILOSOS, CONF. DISPENSA ELETRÔNICA 005/2026 - ITEM 01 E ORDEM DE COMPRA 038/2026/SEAD.</t>
  </si>
  <si>
    <t>EBA OFFICE COMERCIO DE MAQUINAS PARA ESCRITORIO LTDA - EPP</t>
  </si>
  <si>
    <t>9015414000169</t>
  </si>
  <si>
    <t>339036 - 12 - 2126.99</t>
  </si>
  <si>
    <t>NOVA TELEFONIA FIXA CONFORME CONTRATO 023/SEINFRA/2024 FIRMADO ENTRE SEINFRA E ETICE.</t>
  </si>
  <si>
    <t>Lei 14.133/2021, art. 74, III, “f”.</t>
  </si>
  <si>
    <t>EMPENHO REF. PRESTAÇÃO DO CURSO DE DIREITO ELEITORAL DIGITAL - ELEIÇÕES 2026, COM CARGA HORÁRIA DE 20 H/A, COM O INTUITO DE ATUALIZAR 50 (CINQUENTA) MEMBROS E SERVIDORES DO MPCE QUANTO ÀS NOVAS TECNOLOGIAS APLICADAS AO EXERCÍCIO DE SUAS FUNÇÕES, EM E"&amp;"SPECIAL ÀS PRÓXIMAS ELEIÇÕES, NA MODALIDADE AO VIVO, PELO ZOOM, NO PERÍODO DE DE 29.06 A 03.07.2026, POR INEXIGIBILIDADE DE LICITAÇÃO, CONF. ORDEM DE SERVIÇO S/N/2026/ESMP.</t>
  </si>
  <si>
    <t>PAULA STHEFANI DE CARLI LTDA</t>
  </si>
  <si>
    <t>42921701000103</t>
  </si>
  <si>
    <t>AQUISIÇÃO DE 03(TRÊS) COMPUTADORES DESKTOP COMPLETOS, INCLUINDO MONITOR, MOUSE E TECLADO, MARCA LENOVO, MODELO THINKCENTRE M70Q, CONFORME DISPENSA ELETRÔNICA 031/2025(COMPRASGOV) E PARA ATENDER AO CONVÊNIO 936903/2022, ETAPA/FASE 3.1-GAESF</t>
  </si>
  <si>
    <t>VS SOUND COMERCIO E SERVIÇOS DE PRODUTOS ELETRONICOS LTDA-ME</t>
  </si>
  <si>
    <t>20279680000131</t>
  </si>
  <si>
    <t>Lei 14.133/2021, art. 74, IV.</t>
  </si>
  <si>
    <t>339036 - 12 - 2092.27</t>
  </si>
  <si>
    <t>ARTUR BRUNO LEITÃO DE VASCONCELOS</t>
  </si>
  <si>
    <t>60736197311</t>
  </si>
  <si>
    <t>Lei 14.133/2021, art. 74, caput.</t>
  </si>
  <si>
    <t>EMPENHO REF. ANUIDADE DE ÓRGÃO FILIADO À ASSOCIAÇÃO BRASILEIRA DE EDITORES CIENTÍFICOS - ABEC, POR MEIO DE INEXIGIBILIDADE DE LICITAÇÃO, CONF. ORDEM DE SERVIÇO S/N/2026/ESMP, REF. 2026.</t>
  </si>
  <si>
    <t>ENGAJA COMUNICACAO LTDA</t>
  </si>
  <si>
    <t>19093773000198</t>
  </si>
  <si>
    <t>ALLSEG SEGURADORA S/A</t>
  </si>
  <si>
    <t>67865360000127</t>
  </si>
  <si>
    <t xml:space="preserve">Lei 14.133/2021, art. 74, III, “f”._x000D_
</t>
  </si>
  <si>
    <t>OIPE DESENVOLVIMENTO DE LIDERES E EQUIPES LTDA</t>
  </si>
  <si>
    <t>7744663000160</t>
  </si>
  <si>
    <t>EMPENHO REF. PARTICIPAÇÃO DE 02 (DOIS) SERVIDORES DO MPCE, NO CONGRESSO BRASILEIRO DE ASSESSORES DE COMUNICAÇÃO DO SISTEMA DE JUSTIÇA (CONBRASCOM) - EDIÇÃO 2026, PROGRAMADO PARA O PERÍODO DE 29 A 31.07.2026, EM JOÃO PESSOA-PB, POR MEIO DE INEXIGIBILI"&amp;"DADE DE LICITAÇÃO, CONF. ORDEM DE SERVIÇO 054/2026/SECOM.PARTICIPANTES:- JOSÉ REGINALDO AGUIAR, MAT. 216607-1-0, LOTADO NA SECRETARIA DE COMUNICAÇÃO DO MPCE; E- MORGANA JÉSSICA SOUZA CRUZ CHAVES, CPF 018.618.183-35, TAMBÉM LOTADA NA SECRETARIA DE COM"&amp;"UNICAÇÃO DO MPCE.</t>
  </si>
  <si>
    <t>FORUM NACIONAL DE COMUNICACAO E JUSTICA</t>
  </si>
  <si>
    <t>5569714000139</t>
  </si>
  <si>
    <t>EMPENHO REF. FORNECIMENTO DE ÁGUA TRATADA, NA COMARCA DE BREJO SANTO-CE, REF. JUL, AGO E SET/2026, POR ESTIMATIVA.</t>
  </si>
  <si>
    <t>EMPENHO REF. FORNECIMENTO DE ÁGUA TRATADA, NA COMARCA DE CANINDÉ, POR MEIO DE INEXIGIBILIDADE DE LICITAÇÃO, REF. JUL, AGO E SET/2026, POR ESTIMATIVA.</t>
  </si>
  <si>
    <t>EMPENHO REF. SERVIÇO DE ÁGUA, NA COMARCA DE JARDIM-CE, POR MEIO DE INEXIGIBILIDADE DE LICITAÇÃO, REF. JUL, AGO E SET/2026, POR ESTIMATIVA.</t>
  </si>
  <si>
    <t>EMPENHO REF. SERVIÇO DE ÁGUA, NA COMARCA DE JUCÁS-CE, POR MEIO DE INEXIGIBILIDADE DE LICITAÇÃO, REF. JUL, AGO E SET/2026, POR ESTIMATIVA.</t>
  </si>
  <si>
    <t>EMPENHO REF. SERVIÇO DE ÁGUA, NA COMARCA DE LIMOEIRO DO NORTE-CE, POR MEIO DE INEXIGIBILIDADE DE LICITAÇÃO, REF. JUL, AGO E SET/2026, POR ESTIMATIVA.</t>
  </si>
  <si>
    <t>EMPENHO REF. SERVIÇO DE ÁGUA, NA COMARCA DE MORADA NOVA-CE, POR MEIO DE INEXIGIBILIDADE DE LICITAÇÃO, REF. JUL, AGO E SET/2026, POR ESTIMATIVA.</t>
  </si>
  <si>
    <t>EMPENHO REF. SERVIÇO DE ÁGUA, NA COMARCA DE JAGUARIBE-CE, POR MEIO DE INEXIGIBILIDADE DE LICITAÇÃO, REF. JUL, AGO E SET/2026, POR ESTIMATIVA.</t>
  </si>
  <si>
    <t>EMPENHO REF. SERVIÇO DE ÁGUA, NA COMARCA DE ICÓ-CE, POR MEIO DE INEXIGIBILIDADE DE LICITAÇÃO, REF. JUL, AGO E SET/2026, POR ESTIMATIVA.</t>
  </si>
  <si>
    <t>EMPENHO REF. SERVIÇO DE ÁGUA, NA COMARCA DE IGUATU-CE, POR MEIO DE INEXIGIBILIDADE DE LICITAÇÃO, REF. JUL, AGO E SET/2026, POR ESTIMATIVA.</t>
  </si>
  <si>
    <t>EMPENHO REF. SERVIÇO DE ÁGUA, NA COMARCA DE IPU-CE, POR MEIO DE INEXIGIBILIDADE DE LICITAÇÃO, REF. JUL, AGO E SET/2026, POR ESTIMATIVA.</t>
  </si>
  <si>
    <t>EMPENHO REF. SERVIÇO DE ÁGUA, NA COMARCA DE ITAPAJÉ-CE, POR MEIO DE INEXIGIBILIDADE DE LICITAÇÃO, REF. JUL, AGO E SET/2026, POR ESTIMATIVA.</t>
  </si>
  <si>
    <t>EMPENHO REF. SERVIÇO DE ÁGUA, NA COMARCA DE GRANJA-CE, POR MEIO DE INEXIGIBILIDADE DE LICITAÇÃO, REF. JUL, AGO E SET/2026, POR ESTIMATIVA.</t>
  </si>
  <si>
    <t>EMPENHO REF. SERVIÇO DE ÁGUA, NA COMARCA DE CRATO-CE, POR MEIO DE INEXIGIBILIDADE DE LICITAÇÃO, REF. JUL, AGO E SET/2026, POR ESTIMATIVA.</t>
  </si>
  <si>
    <t>EMPENHO REF. SERVIÇOS DE ÁGUA E ESGOTO, POR MEIO DE INEXIGIBILIDADE DE LICITAÇÃO, REF. JUL, AGO E SET/2026, POR ESTIMATIVA.</t>
  </si>
  <si>
    <t>EMPENHO REF. SERVIÇO DE ÁGUA, NA COMARCA DE SOLONÓPOLE-CE, POR MEIO DE INEXIGIBILIDADE DE LICITAÇÃO, REF. JUL, AGO E SET/2026, POR ESTIMATIVA.</t>
  </si>
  <si>
    <t>EMPENHO REF. SERVIÇO DE ÁGUA, NA COMARCA DE SOBRAL-CE, POR MEIO DE INEXIGIBILIDADE DE LICITAÇÃO, REF. JUL, AGO E SET/2026, POR ESTIMATIVA.</t>
  </si>
  <si>
    <t>EMPENHO REF. SERVIÇO DE ÁGUA, NA COMARCA DE QUIXERAMOBIM-CE, REF. JUL, AGO E SET/2026, POR ESTIMATIVA.</t>
  </si>
  <si>
    <t>EMPENHO REF. SERVIÇO DE ÁGUA, NA COMARCA DE NOVA RUSSAS-CE, POR MEIO DE INEXIGIBILIDADE DE LICITAÇÃO, REF. JUL, AGO E SET/2026, POR ESTIMATIVA.</t>
  </si>
  <si>
    <t>EMPENHO REF. SERVIÇO 0800, CONF. CONVÊNIO 006/2022/SEINFRA, REF. JUL/2026, POR ESTIMATIVA.</t>
  </si>
  <si>
    <t>EMPENHO REF. 05 (CINCO) INSCRIÇÕES PARA MEMBROS DO MINISTÉRIO PÚBLICO DE ESTADO DO CEARÁ, NO 3º CONGRESSO CONAMP MULHER, A REALIZAR-SE NOS DIAS 19 A 21 DE AGOSTO DE 2026, EM SALVADOR-BA, VISANDO A REFLEXÃO SOBRE OS HORIZONTES INSTITUCIONAIS, POR INEX"&amp;"IGIBILIDADE DE LICITAÇÃO, CONF. ORDEM DE SERVIÇO S/N/2026/ESMP.</t>
  </si>
  <si>
    <t>ASSOC NAC DOS MEMBROS DO MP CONAMP</t>
  </si>
  <si>
    <t>54284583000159</t>
  </si>
  <si>
    <t>EMPENHO REF. TELEFONIA FIXA, CONF. CONVÊNIO 006/2022/SEINFRA, REF. JUL/2026, POR ESTIMATIVA.</t>
  </si>
  <si>
    <t>EMPENHO REF. CONTRIBUIÇÃO ANUAL DO COLÉGIO DE DIRETORES DE ESCOLAS E CENTROS DE ESTUDOS E APERFEIÇOAMENTO FUNCIONAL DOS MINISTÉRIOS PÚBLICOS DO BRASIL-CDEMP, POR INEXIGILIDADE DE LICITAÇÃO, CONF. TERMO DE DEFERIMENTO DA CONTRATAÇÃO DIRETA PUB. NO DOM"&amp;"P 2279, DE 24.06.2026, E ORDEM DE SERVIÇO S/N/2026/ESMP, REF. 2026.</t>
  </si>
  <si>
    <t>339039 - 14 - 2234.94</t>
  </si>
  <si>
    <t>CDEMP</t>
  </si>
  <si>
    <t>20519953000178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</si>
</sst>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  <charset val="1"/>
    </font>
    <font>
      <sz val="8"/>
      <name val="Arial"/>
      <family val="2"/>
    </font>
    <font>
      <u/>
      <sz val="8"/>
      <color theme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 justifyLastLine="1"/>
    </xf>
    <xf numFmtId="0" fontId="4" fillId="0" borderId="1" xfId="0" applyFont="1" applyBorder="1" applyAlignment="1">
      <alignment horizontal="center" vertical="center" wrapText="1" justifyLastLine="1"/>
    </xf>
    <xf numFmtId="0" fontId="5" fillId="0" borderId="1" xfId="1" applyFont="1" applyBorder="1" applyAlignment="1">
      <alignment horizontal="center" vertical="center" wrapText="1" justifyLastLine="1"/>
    </xf>
    <xf numFmtId="14" fontId="4" fillId="0" borderId="1" xfId="0" applyNumberFormat="1" applyFont="1" applyBorder="1" applyAlignment="1">
      <alignment horizontal="center" vertical="center" wrapText="1" justifyLastLine="1"/>
    </xf>
    <xf numFmtId="0" fontId="7" fillId="0" borderId="1" xfId="1" applyFont="1" applyBorder="1" applyAlignment="1" applyProtection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 justifyLastLine="1"/>
    </xf>
    <xf numFmtId="49" fontId="3" fillId="0" borderId="1" xfId="0" applyNumberFormat="1" applyFont="1" applyBorder="1" applyAlignment="1">
      <alignment horizontal="right" vertical="center" wrapText="1"/>
    </xf>
    <xf numFmtId="49" fontId="0" fillId="0" borderId="0" xfId="0" applyNumberFormat="1"/>
    <xf numFmtId="0" fontId="3" fillId="0" borderId="1" xfId="0" applyFont="1" applyBorder="1" applyAlignment="1">
      <alignment vertical="center" wrapText="1"/>
    </xf>
    <xf numFmtId="4" fontId="0" fillId="0" borderId="0" xfId="0" applyNumberFormat="1"/>
    <xf numFmtId="0" fontId="2" fillId="0" borderId="1" xfId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justify" vertical="center"/>
    </xf>
    <xf numFmtId="14" fontId="2" fillId="0" borderId="1" xfId="1" applyNumberFormat="1" applyBorder="1" applyAlignment="1">
      <alignment horizontal="justify" vertical="center"/>
    </xf>
    <xf numFmtId="0" fontId="0" fillId="0" borderId="0" xfId="0" applyAlignment="1">
      <alignment horizontal="justify"/>
    </xf>
    <xf numFmtId="0" fontId="9" fillId="0" borderId="0" xfId="0" applyFont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461D-646D-4E3D-8EEA-F1F2D9B59514}">
  <dimension ref="A1:X1190"/>
  <sheetViews>
    <sheetView tabSelected="1" workbookViewId="0">
      <selection activeCell="E1" sqref="E1:E1048576"/>
    </sheetView>
  </sheetViews>
  <sheetFormatPr defaultRowHeight="15" x14ac:dyDescent="0.25"/>
  <cols>
    <col min="1" max="1" width="21" style="8" customWidth="1"/>
    <col min="2" max="2" width="26.140625" style="8" customWidth="1"/>
    <col min="3" max="3" width="23.140625" customWidth="1"/>
    <col min="4" max="4" width="22.7109375" customWidth="1"/>
    <col min="5" max="5" width="58" style="18" customWidth="1"/>
    <col min="6" max="6" width="24.7109375" customWidth="1"/>
    <col min="7" max="7" width="18.7109375" customWidth="1"/>
    <col min="8" max="8" width="18" customWidth="1"/>
    <col min="9" max="9" width="30" style="8" customWidth="1"/>
    <col min="10" max="10" width="23.85546875" style="11" customWidth="1"/>
    <col min="11" max="24" width="9.140625" hidden="1" customWidth="1"/>
    <col min="25" max="28" width="0" hidden="1" customWidth="1"/>
  </cols>
  <sheetData>
    <row r="1" spans="1:10" ht="24" x14ac:dyDescent="0.25">
      <c r="A1" s="1" t="s">
        <v>0</v>
      </c>
      <c r="B1" s="1" t="s">
        <v>1</v>
      </c>
      <c r="C1" s="1" t="s">
        <v>2</v>
      </c>
      <c r="D1" s="1" t="s">
        <v>3</v>
      </c>
      <c r="E1" s="1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9" t="s">
        <v>9</v>
      </c>
    </row>
    <row r="2" spans="1:10" x14ac:dyDescent="0.25">
      <c r="A2" s="1" t="s">
        <v>10</v>
      </c>
      <c r="B2" s="1" t="s">
        <v>11</v>
      </c>
      <c r="C2" s="1" t="s">
        <v>12</v>
      </c>
      <c r="D2" s="1" t="s">
        <v>13</v>
      </c>
      <c r="E2" s="15" t="s">
        <v>14</v>
      </c>
      <c r="F2" s="1" t="s">
        <v>15</v>
      </c>
      <c r="G2" s="1" t="s">
        <v>16</v>
      </c>
      <c r="H2" s="1" t="s">
        <v>17</v>
      </c>
      <c r="I2" s="1" t="s">
        <v>18</v>
      </c>
      <c r="J2" s="9" t="s">
        <v>19</v>
      </c>
    </row>
    <row r="3" spans="1:10" ht="51" x14ac:dyDescent="0.25">
      <c r="A3" s="19" t="s">
        <v>111</v>
      </c>
      <c r="B3" s="2" t="s">
        <v>112</v>
      </c>
      <c r="C3" s="3" t="str">
        <f>HYPERLINK("https://transparencia-area-fim.mpce.mp.br/#/consulta/processo/pastadigital/092022000091296","09.2022.00009129-6")</f>
        <v>09.2022.00009129-6</v>
      </c>
      <c r="D3" s="4">
        <v>46045</v>
      </c>
      <c r="E3" s="16" t="str">
        <f>HYPERLINK("https://www8.mpce.mp.br/Empenhos/150001/Objeto/33-2022.pdf","EMPENHO REF. ALUGUEL DE IMÓVEL ONDE FUNCIONAM PROMOTORIAS DE JUSTIÇA DA COMARCA DE VÁRZEA ALEGRE, CONF. CONTRATO 033/2022, REF. JAN, FEV E MAR/2026, POR ESTIMATIVA.")</f>
        <v>EMPENHO REF. ALUGUEL DE IMÓVEL ONDE FUNCIONAM PROMOTORIAS DE JUSTIÇA DA COMARCA DE VÁRZEA ALEGRE, CONF. CONTRATO 033/2022, REF. JAN, FEV E MAR/2026, POR ESTIMATIVA.</v>
      </c>
      <c r="F3" s="2" t="s">
        <v>113</v>
      </c>
      <c r="G3" s="5" t="str">
        <f>HYPERLINK("https://siafe.sefaz.ce.gov.br/Siafe/downloadSignature?token=089fd5f362604e8e8ae8c606bd08ceab","2026NE000003")</f>
        <v>2026NE000003</v>
      </c>
      <c r="H3" s="6">
        <v>2506.1999999999998</v>
      </c>
      <c r="I3" s="7" t="s">
        <v>32</v>
      </c>
      <c r="J3" s="10" t="s">
        <v>114</v>
      </c>
    </row>
    <row r="4" spans="1:10" ht="51" x14ac:dyDescent="0.25">
      <c r="A4" s="12" t="s">
        <v>111</v>
      </c>
      <c r="B4" s="2" t="s">
        <v>115</v>
      </c>
      <c r="C4" s="3" t="str">
        <f>HYPERLINK("http://www8.mpce.mp.br/Dispensa/2150720189.pdf","21507/2018-9")</f>
        <v>21507/2018-9</v>
      </c>
      <c r="D4" s="4">
        <v>46048</v>
      </c>
      <c r="E4" s="16" t="str">
        <f>HYPERLINK("https://www8.mpce.mp.br/Empenhos/150001/Objeto/51-2019.pdf","EMPENHO REF. ALUGUEL DE IMÓVEL QUE ABRIGA PROMOTORIAS DE JUSTIÇA DA COMARCA DE  VIÇOSA DO CEARÁ, CONF. CONTRATO 051/2019, REF. JAN, /2026, POR ESTIMATIVA.")</f>
        <v>EMPENHO REF. ALUGUEL DE IMÓVEL QUE ABRIGA PROMOTORIAS DE JUSTIÇA DA COMARCA DE  VIÇOSA DO CEARÁ, CONF. CONTRATO 051/2019, REF. JAN, /2026, POR ESTIMATIVA.</v>
      </c>
      <c r="F4" s="2" t="s">
        <v>113</v>
      </c>
      <c r="G4" s="5" t="str">
        <f>HYPERLINK("https://siafe.sefaz.ce.gov.br/Siafe/downloadSignature?token=3dd6cb56938243438a5be9735610ffa9","2026NE000004")</f>
        <v>2026NE000004</v>
      </c>
      <c r="H4" s="6">
        <v>3153.59</v>
      </c>
      <c r="I4" s="7" t="s">
        <v>90</v>
      </c>
      <c r="J4" s="10" t="s">
        <v>116</v>
      </c>
    </row>
    <row r="5" spans="1:10" ht="51" x14ac:dyDescent="0.25">
      <c r="A5" s="12" t="s">
        <v>111</v>
      </c>
      <c r="B5" s="2" t="s">
        <v>115</v>
      </c>
      <c r="C5" s="3" t="str">
        <f>HYPERLINK("http://www8.mpce.mp.br/Dispensa/4503020176.pdf","45030/2017-6")</f>
        <v>45030/2017-6</v>
      </c>
      <c r="D5" s="4">
        <v>46048</v>
      </c>
      <c r="E5" s="16" t="str">
        <f>HYPERLINK("https://www8.mpce.mp.br/Empenhos/150001/Objeto/74-2019.pdf","EMPENHO REF. ALUGUEL DE IMÓVEL QUE ABRIGA PROMOTORIAS DE JUSTIÇA DA COMARCA DE GRANJA-CE, CONF. CONTRATO 074/2019, REF. JAN, /2026, POR ESTIMATIVA.")</f>
        <v>EMPENHO REF. ALUGUEL DE IMÓVEL QUE ABRIGA PROMOTORIAS DE JUSTIÇA DA COMARCA DE GRANJA-CE, CONF. CONTRATO 074/2019, REF. JAN, /2026, POR ESTIMATIVA.</v>
      </c>
      <c r="F5" s="2" t="s">
        <v>117</v>
      </c>
      <c r="G5" s="5" t="str">
        <f>HYPERLINK("https://siafe.sefaz.ce.gov.br/Siafe/downloadSignature?token=ec94fbf4171a4279afaea5ab64935125","2026NE000005")</f>
        <v>2026NE000005</v>
      </c>
      <c r="H5" s="6">
        <v>2335.64</v>
      </c>
      <c r="I5" s="7" t="s">
        <v>88</v>
      </c>
      <c r="J5" s="10" t="s">
        <v>118</v>
      </c>
    </row>
    <row r="6" spans="1:10" ht="51" x14ac:dyDescent="0.25">
      <c r="A6" s="12" t="s">
        <v>111</v>
      </c>
      <c r="B6" s="2" t="s">
        <v>115</v>
      </c>
      <c r="C6" s="3" t="str">
        <f>HYPERLINK("https://transparencia-area-fim.mpce.mp.br/#/consulta/processo/pastadigital/092021000219739","09.2021.00021973-9")</f>
        <v>09.2021.00021973-9</v>
      </c>
      <c r="D6" s="4">
        <v>46048</v>
      </c>
      <c r="E6" s="16" t="str">
        <f>HYPERLINK("https://www8.mpce.mp.br/Empenhos/150001/Objeto/45-2021.pdf","EMPENHO REF. REEMBOLSO DE CONDOMÍNIO DE IMÓVEL ONDE FUNCIONAM PROMOTORIAS DE JUSTIÇA DA COMARCA DE EUSÉBIO, CONF. CONTRATO 045/2021, REF. JAN, FEV E MAR/2026, POR ESTIMATIVA.")</f>
        <v>EMPENHO REF. REEMBOLSO DE CONDOMÍNIO DE IMÓVEL ONDE FUNCIONAM PROMOTORIAS DE JUSTIÇA DA COMARCA DE EUSÉBIO, CONF. CONTRATO 045/2021, REF. JAN, FEV E MAR/2026, POR ESTIMATIVA.</v>
      </c>
      <c r="F6" s="2" t="s">
        <v>119</v>
      </c>
      <c r="G6" s="5" t="str">
        <f>HYPERLINK("https://siafe.sefaz.ce.gov.br/Siafe/downloadSignature?token=7d8f5991559245b185a7e6b1ff121655","2026NE000006")</f>
        <v>2026NE000006</v>
      </c>
      <c r="H6" s="6">
        <v>1574.64</v>
      </c>
      <c r="I6" s="7" t="s">
        <v>42</v>
      </c>
      <c r="J6" s="10" t="s">
        <v>120</v>
      </c>
    </row>
    <row r="7" spans="1:10" ht="51" x14ac:dyDescent="0.25">
      <c r="A7" s="12" t="s">
        <v>111</v>
      </c>
      <c r="B7" s="2" t="s">
        <v>115</v>
      </c>
      <c r="C7" s="3" t="str">
        <f>HYPERLINK("https://transparencia-area-fim.mpce.mp.br/#/consulta/processo/pastadigital/092021000219739","09.2021.00021973-9")</f>
        <v>09.2021.00021973-9</v>
      </c>
      <c r="D7" s="4">
        <v>46048</v>
      </c>
      <c r="E7" s="16" t="str">
        <f>HYPERLINK("https://www8.mpce.mp.br/Empenhos/150001/Objeto/45-2021.pdf","EMPENHO REF. ALUGUEL DE IMÓVEL ONDE FUNCIONAM PROMOTORIAS DE JUSTIÇA DA COMARCA DE EUSÉBIO, CONF. CONTRATO 045/2021, REF. JAN, FEV E MAR/2026, POR ESTIMATIVA.")</f>
        <v>EMPENHO REF. ALUGUEL DE IMÓVEL ONDE FUNCIONAM PROMOTORIAS DE JUSTIÇA DA COMARCA DE EUSÉBIO, CONF. CONTRATO 045/2021, REF. JAN, FEV E MAR/2026, POR ESTIMATIVA.</v>
      </c>
      <c r="F7" s="2" t="s">
        <v>121</v>
      </c>
      <c r="G7" s="5" t="str">
        <f>HYPERLINK("https://siafe.sefaz.ce.gov.br/Siafe/downloadSignature?token=98693bb404fe4c77a58b389aaa8d23eb","2026NE000007")</f>
        <v>2026NE000007</v>
      </c>
      <c r="H7" s="6">
        <v>5195.6400000000003</v>
      </c>
      <c r="I7" s="7" t="s">
        <v>42</v>
      </c>
      <c r="J7" s="10" t="s">
        <v>120</v>
      </c>
    </row>
    <row r="8" spans="1:10" ht="51" x14ac:dyDescent="0.25">
      <c r="A8" s="12" t="s">
        <v>122</v>
      </c>
      <c r="B8" s="2" t="s">
        <v>123</v>
      </c>
      <c r="C8" s="3" t="str">
        <f>HYPERLINK("https://transparencia-area-fim.mpce.mp.br/#/consulta/processo/pastadigital/092022000371847","09.2022.00037184-7")</f>
        <v>09.2022.00037184-7</v>
      </c>
      <c r="D8" s="4">
        <v>46048</v>
      </c>
      <c r="E8" s="16" t="str">
        <f>HYPERLINK("https://www8.mpce.mp.br/Empenhos/150001/Objeto/44-2023.pdf","EMPENHO REF. ALUGUEL DE IMÓVEL ONDE FUNCIONAM PROMOTORIAS DE JUSTIÇA DA COMARCA DE MARCO, CONF. CONTRATO 033/2022, REF. JAN, FEV E MAR/2026, POR ESTIMATIVA.")</f>
        <v>EMPENHO REF. ALUGUEL DE IMÓVEL ONDE FUNCIONAM PROMOTORIAS DE JUSTIÇA DA COMARCA DE MARCO, CONF. CONTRATO 033/2022, REF. JAN, FEV E MAR/2026, POR ESTIMATIVA.</v>
      </c>
      <c r="F8" s="2" t="s">
        <v>113</v>
      </c>
      <c r="G8" s="5" t="str">
        <f>HYPERLINK("https://siafe.sefaz.ce.gov.br/Siafe/downloadSignature?token=78ac091f8d124b3ea8d22875ffbb639c","2026NE000008")</f>
        <v>2026NE000008</v>
      </c>
      <c r="H8" s="6">
        <v>3600</v>
      </c>
      <c r="I8" s="7" t="s">
        <v>43</v>
      </c>
      <c r="J8" s="10" t="s">
        <v>124</v>
      </c>
    </row>
    <row r="9" spans="1:10" ht="51" x14ac:dyDescent="0.25">
      <c r="A9" s="12" t="s">
        <v>122</v>
      </c>
      <c r="B9" s="2" t="s">
        <v>125</v>
      </c>
      <c r="C9" s="3" t="str">
        <f>HYPERLINK("https://transparencia-area-fim.mpce.mp.br/#/consulta/processo/pastadigital/092022000409094","09.2022.00040909-4")</f>
        <v>09.2022.00040909-4</v>
      </c>
      <c r="D9" s="4">
        <v>46048</v>
      </c>
      <c r="E9" s="16" t="str">
        <f>HYPERLINK("https://www8.mpce.mp.br/Empenhos/150001/Objeto/41-2023.pdf","EMPENHO REF. ALUGUEL DE IMÓVEL ONDE FUNCIONAM PROMOTORIAS DE JUSTIÇA DA COMARCA DE GUARACIABA DO NORTE, CONF. CONTRATO 041/2023, REF. JAN, /2026, POR ESTIMATIVA.")</f>
        <v>EMPENHO REF. ALUGUEL DE IMÓVEL ONDE FUNCIONAM PROMOTORIAS DE JUSTIÇA DA COMARCA DE GUARACIABA DO NORTE, CONF. CONTRATO 041/2023, REF. JAN, /2026, POR ESTIMATIVA.</v>
      </c>
      <c r="F9" s="2" t="s">
        <v>113</v>
      </c>
      <c r="G9" s="5" t="str">
        <f>HYPERLINK("https://siafe.sefaz.ce.gov.br/Siafe/downloadSignature?token=10ea06d4c1fa499d9e08c02c3865e3e7","2026NE000009")</f>
        <v>2026NE000009</v>
      </c>
      <c r="H9" s="6">
        <v>2300</v>
      </c>
      <c r="I9" s="7" t="s">
        <v>44</v>
      </c>
      <c r="J9" s="10" t="s">
        <v>126</v>
      </c>
    </row>
    <row r="10" spans="1:10" ht="51" x14ac:dyDescent="0.25">
      <c r="A10" s="12" t="s">
        <v>111</v>
      </c>
      <c r="B10" s="2" t="s">
        <v>115</v>
      </c>
      <c r="C10" s="3" t="str">
        <f>HYPERLINK("https://transparencia-area-fim.mpce.mp.br/#/consulta/processo/pastadigital/092022000276145","09.2022.00027614-5")</f>
        <v>09.2022.00027614-5</v>
      </c>
      <c r="D10" s="4">
        <v>46048</v>
      </c>
      <c r="E10" s="16" t="str">
        <f>HYPERLINK("https://www8.mpce.mp.br/Empenhos/150001/Objeto/36-2022.pdf","EMPENHO REF. ALUGUEL DE IMÓVEL ONDE FUNCIONAM PROMOTORIAS DE JUSTIÇA DA COMARCA DE ARARIPE, CONF. CONTRATO 036/2022, REF. JAN, /2026, POR ESTIMATIVA.")</f>
        <v>EMPENHO REF. ALUGUEL DE IMÓVEL ONDE FUNCIONAM PROMOTORIAS DE JUSTIÇA DA COMARCA DE ARARIPE, CONF. CONTRATO 036/2022, REF. JAN, /2026, POR ESTIMATIVA.</v>
      </c>
      <c r="F10" s="2" t="s">
        <v>113</v>
      </c>
      <c r="G10" s="5" t="str">
        <f>HYPERLINK("https://siafe.sefaz.ce.gov.br/Siafe/downloadSignature?token=242e1e10146846c590c4e819f0b34795","2026NE000010")</f>
        <v>2026NE000010</v>
      </c>
      <c r="H10" s="6">
        <v>1500</v>
      </c>
      <c r="I10" s="7" t="s">
        <v>31</v>
      </c>
      <c r="J10" s="10" t="s">
        <v>127</v>
      </c>
    </row>
    <row r="11" spans="1:10" ht="51" x14ac:dyDescent="0.25">
      <c r="A11" s="12" t="s">
        <v>111</v>
      </c>
      <c r="B11" s="2" t="s">
        <v>115</v>
      </c>
      <c r="C11" s="3" t="str">
        <f>HYPERLINK("https://transparencia-area-fim.mpce.mp.br/#/consulta/processo/pastadigital/092021000121226","09.2021.00012122-6")</f>
        <v>09.2021.00012122-6</v>
      </c>
      <c r="D11" s="4">
        <v>46048</v>
      </c>
      <c r="E11" s="16" t="str">
        <f>HYPERLINK("https://www8.mpce.mp.br/Empenhos/150001/Objeto/34-2021.pdf","EMPENHO REF. ALUGUEL DE IMÓVEL ONDE FUNCIONAM PROMOTORIAS DE JUSTIÇA DA COMARCA DE SÃO BENEDITO, CONF. CONTRATO 034/2021, REF. JAN, /2026, POR ESTIMATIVA.")</f>
        <v>EMPENHO REF. ALUGUEL DE IMÓVEL ONDE FUNCIONAM PROMOTORIAS DE JUSTIÇA DA COMARCA DE SÃO BENEDITO, CONF. CONTRATO 034/2021, REF. JAN, /2026, POR ESTIMATIVA.</v>
      </c>
      <c r="F11" s="2" t="s">
        <v>113</v>
      </c>
      <c r="G11" s="5" t="str">
        <f>HYPERLINK("https://siafe.sefaz.ce.gov.br/Siafe/downloadSignature?token=674a8e8a7dc84458a8a3d24bb82eb949","2026NE000011")</f>
        <v>2026NE000011</v>
      </c>
      <c r="H11" s="6">
        <v>2823.27</v>
      </c>
      <c r="I11" s="7" t="s">
        <v>37</v>
      </c>
      <c r="J11" s="10" t="s">
        <v>128</v>
      </c>
    </row>
    <row r="12" spans="1:10" ht="38.25" x14ac:dyDescent="0.25">
      <c r="A12" s="12" t="s">
        <v>111</v>
      </c>
      <c r="B12" s="2" t="s">
        <v>115</v>
      </c>
      <c r="C12" s="3" t="str">
        <f>HYPERLINK("http://www8.mpce.mp.br/Dispensa/6795020160.pdf","6795020160")</f>
        <v>6795020160</v>
      </c>
      <c r="D12" s="4">
        <v>46048</v>
      </c>
      <c r="E12" s="16" t="str">
        <f>HYPERLINK("https://www8.mpce.mp.br/Empenhos/150001/Objeto/08-2017.pdf","EMPENHO REF. ALUGUEL DE IMÓVEL ONDE FUNCIONAM PROMOTORIAS DE JUSTIÇA DA COMARCA DE JARDIM, CONF. CONTRATO 008/2017, REF. JAN, /2026, POR ESTIMATIVA.")</f>
        <v>EMPENHO REF. ALUGUEL DE IMÓVEL ONDE FUNCIONAM PROMOTORIAS DE JUSTIÇA DA COMARCA DE JARDIM, CONF. CONTRATO 008/2017, REF. JAN, /2026, POR ESTIMATIVA.</v>
      </c>
      <c r="F12" s="2" t="s">
        <v>113</v>
      </c>
      <c r="G12" s="5" t="str">
        <f>HYPERLINK("https://siafe.sefaz.ce.gov.br/Siafe/downloadSignature?token=25c5f8b46b664affa07d02815046e976","2026NE000012")</f>
        <v>2026NE000012</v>
      </c>
      <c r="H12" s="6">
        <v>737.43</v>
      </c>
      <c r="I12" s="7" t="s">
        <v>91</v>
      </c>
      <c r="J12" s="10" t="s">
        <v>129</v>
      </c>
    </row>
    <row r="13" spans="1:10" ht="51" x14ac:dyDescent="0.25">
      <c r="A13" s="12" t="s">
        <v>111</v>
      </c>
      <c r="B13" s="2" t="s">
        <v>115</v>
      </c>
      <c r="C13" s="3" t="str">
        <f>HYPERLINK("https://transparencia-area-fim.mpce.mp.br/#/consulta/processo/pastadigital/092021000047808","09.2021.00004780-8")</f>
        <v>09.2021.00004780-8</v>
      </c>
      <c r="D13" s="4">
        <v>46048</v>
      </c>
      <c r="E13" s="16" t="str">
        <f>HYPERLINK("https://www8.mpce.mp.br/Empenhos/150001/Objeto/25-2021.pdf","EMPENHO REF. ALUGUEL DE IMÓVEL ONDE FUNCIONAM PROMOTORIAS DE JUSTIÇA DA COMARCA DE ALTO SANTO, CONF. CONTRATO 025/2021, REF. JAN,/2026, POR ESTIMATIVA.")</f>
        <v>EMPENHO REF. ALUGUEL DE IMÓVEL ONDE FUNCIONAM PROMOTORIAS DE JUSTIÇA DA COMARCA DE ALTO SANTO, CONF. CONTRATO 025/2021, REF. JAN,/2026, POR ESTIMATIVA.</v>
      </c>
      <c r="F13" s="2" t="s">
        <v>113</v>
      </c>
      <c r="G13" s="5" t="str">
        <f>HYPERLINK("https://siafe.sefaz.ce.gov.br/Siafe/downloadSignature?token=d02b981ceaba4bdf870ee2a915ecb55d","2026NE000013")</f>
        <v>2026NE000013</v>
      </c>
      <c r="H13" s="6">
        <v>1651.15</v>
      </c>
      <c r="I13" s="7" t="s">
        <v>130</v>
      </c>
      <c r="J13" s="10" t="s">
        <v>131</v>
      </c>
    </row>
    <row r="14" spans="1:10" ht="51" x14ac:dyDescent="0.25">
      <c r="A14" s="12" t="s">
        <v>111</v>
      </c>
      <c r="B14" s="2" t="s">
        <v>115</v>
      </c>
      <c r="C14" s="3" t="str">
        <f>HYPERLINK("https://transparencia-area-fim.mpce.mp.br/#/consulta/processo/pastadigital/092023000338530","09.2023.00033853-0")</f>
        <v>09.2023.00033853-0</v>
      </c>
      <c r="D14" s="4">
        <v>46045</v>
      </c>
      <c r="E14" s="16" t="str">
        <f>HYPERLINK("https://www8.mpce.mp.br/Empenhos/150001/Objeto/05-2024.pdf","EMPENHO REF. ALUGUEL DE IMÓVEL ONDE FUNCIONAM PROMOTORIAS DE JUSTIÇA DA COMARCA DE BATURITÉ-CE, CONF. CONTRATO 005/2024, REF. JAN, 2026, POR ESTIMATIVA.")</f>
        <v>EMPENHO REF. ALUGUEL DE IMÓVEL ONDE FUNCIONAM PROMOTORIAS DE JUSTIÇA DA COMARCA DE BATURITÉ-CE, CONF. CONTRATO 005/2024, REF. JAN, 2026, POR ESTIMATIVA.</v>
      </c>
      <c r="F14" s="2" t="s">
        <v>121</v>
      </c>
      <c r="G14" s="5" t="str">
        <f>HYPERLINK("https://siafe.sefaz.ce.gov.br/Siafe/downloadSignature?token=fb1d543d00a1483e93cf172f6e0af8d6","2026NE000014")</f>
        <v>2026NE000014</v>
      </c>
      <c r="H14" s="6">
        <v>15272</v>
      </c>
      <c r="I14" s="7" t="s">
        <v>21</v>
      </c>
      <c r="J14" s="10" t="s">
        <v>132</v>
      </c>
    </row>
    <row r="15" spans="1:10" ht="38.25" x14ac:dyDescent="0.25">
      <c r="A15" s="12" t="s">
        <v>111</v>
      </c>
      <c r="B15" s="2" t="s">
        <v>115</v>
      </c>
      <c r="C15" s="3" t="str">
        <f>HYPERLINK("https://transparencia-area-fim.mpce.mp.br/#/consulta/processo/pastadigital/092022000197876","09.2022.00019787-6")</f>
        <v>09.2022.00019787-6</v>
      </c>
      <c r="D15" s="4">
        <v>46045</v>
      </c>
      <c r="E15" s="16" t="str">
        <f>HYPERLINK("https://www8.mpce.mp.br/Empenhos/150001/Objeto/02-2023.pdf","EMPENHO REF. ALUGUEL DE IMÓVEL ONDE FUNCIONA O NÚCLEO DE MEDIAÇÃO COMUNITÁRIA, CONF. CONTRATO 002/2023, REF. JAN,  DE 2026, POR ESTIMATIVA.")</f>
        <v>EMPENHO REF. ALUGUEL DE IMÓVEL ONDE FUNCIONA O NÚCLEO DE MEDIAÇÃO COMUNITÁRIA, CONF. CONTRATO 002/2023, REF. JAN,  DE 2026, POR ESTIMATIVA.</v>
      </c>
      <c r="F15" s="2" t="s">
        <v>121</v>
      </c>
      <c r="G15" s="5" t="str">
        <f>HYPERLINK("https://siafe.sefaz.ce.gov.br/Siafe/downloadSignature?token=a5eed02d86d0482aae85c93531260a48","2026NE000015")</f>
        <v>2026NE000015</v>
      </c>
      <c r="H15" s="6">
        <v>5600</v>
      </c>
      <c r="I15" s="7" t="s">
        <v>28</v>
      </c>
      <c r="J15" s="10" t="s">
        <v>133</v>
      </c>
    </row>
    <row r="16" spans="1:10" ht="51" x14ac:dyDescent="0.25">
      <c r="A16" s="12" t="s">
        <v>111</v>
      </c>
      <c r="B16" s="2" t="s">
        <v>115</v>
      </c>
      <c r="C16" s="3" t="str">
        <f>HYPERLINK("https://transparencia-area-fim.mpce.mp.br/#/consulta/processo/pastadigital/092021000063220","09.2021.00006322-0")</f>
        <v>09.2021.00006322-0</v>
      </c>
      <c r="D16" s="4">
        <v>46045</v>
      </c>
      <c r="E16" s="16" t="str">
        <f>HYPERLINK("https://www8.mpce.mp.br/Empenhos/150001/Objeto/33-2021.pdf","EMPENHO REF. ALUGUEL DE IMÓVEL ONDE FUNCIONAM PROMOTORIAS DE JUSTIÇA DA COMARCA DE SOBRAL, CONF. CONTRATO 033/2021, REF. JAN,  2026, POR ESTIMATIVA.")</f>
        <v>EMPENHO REF. ALUGUEL DE IMÓVEL ONDE FUNCIONAM PROMOTORIAS DE JUSTIÇA DA COMARCA DE SOBRAL, CONF. CONTRATO 033/2021, REF. JAN,  2026, POR ESTIMATIVA.</v>
      </c>
      <c r="F16" s="2" t="s">
        <v>121</v>
      </c>
      <c r="G16" s="5" t="str">
        <f>HYPERLINK("https://siafe.sefaz.ce.gov.br/Siafe/downloadSignature?token=efcba1014ffb444ead6a1a5760ad546b","2026NE000016")</f>
        <v>2026NE000016</v>
      </c>
      <c r="H16" s="6">
        <v>36266.65</v>
      </c>
      <c r="I16" s="7" t="s">
        <v>21</v>
      </c>
      <c r="J16" s="10" t="s">
        <v>132</v>
      </c>
    </row>
    <row r="17" spans="1:10" ht="51" x14ac:dyDescent="0.25">
      <c r="A17" s="12" t="s">
        <v>111</v>
      </c>
      <c r="B17" s="2" t="s">
        <v>115</v>
      </c>
      <c r="C17" s="3" t="str">
        <f>HYPERLINK("https://transparencia-area-fim.mpce.mp.br/#/consulta/processo/pastadigital/092023000338563","09.2023.00033856-3")</f>
        <v>09.2023.00033856-3</v>
      </c>
      <c r="D17" s="4">
        <v>46045</v>
      </c>
      <c r="E17" s="16" t="str">
        <f>HYPERLINK("https://www8.mpce.mp.br/Empenhos/150001/Objeto/01-2024.pdf","EMPENHO REF. ALUGUEL DE IMÓVEL ONDE FUNCIONAM PROMOTORIAS DE JUSTIÇA DA COMARCA DE AQUIRAZ, CONF. CONTRATO 001/2024, REF. JAN, 2026, POR ESTIMATIVA.")</f>
        <v>EMPENHO REF. ALUGUEL DE IMÓVEL ONDE FUNCIONAM PROMOTORIAS DE JUSTIÇA DA COMARCA DE AQUIRAZ, CONF. CONTRATO 001/2024, REF. JAN, 2026, POR ESTIMATIVA.</v>
      </c>
      <c r="F17" s="2" t="s">
        <v>121</v>
      </c>
      <c r="G17" s="5" t="str">
        <f>HYPERLINK("https://siafe.sefaz.ce.gov.br/Siafe/downloadSignature?token=c0929718acc544988a53ce31d134fac3","2026NE000017")</f>
        <v>2026NE000017</v>
      </c>
      <c r="H17" s="6">
        <v>17232</v>
      </c>
      <c r="I17" s="7" t="s">
        <v>27</v>
      </c>
      <c r="J17" s="10" t="s">
        <v>134</v>
      </c>
    </row>
    <row r="18" spans="1:10" ht="51" x14ac:dyDescent="0.25">
      <c r="A18" s="12" t="s">
        <v>111</v>
      </c>
      <c r="B18" s="2" t="s">
        <v>115</v>
      </c>
      <c r="C18" s="3" t="str">
        <f>HYPERLINK("https://transparencia-area-fim.mpce.mp.br/#/consulta/processo/pastadigital/092022000230870","09.2022.00023087-0")</f>
        <v>09.2022.00023087-0</v>
      </c>
      <c r="D18" s="4">
        <v>46045</v>
      </c>
      <c r="E18" s="16" t="str">
        <f>HYPERLINK("https://www8.mpce.mp.br/Empenhos/150001/Objeto/29-2022.pdf","EMPENHO REF. ALUGUEL DE IMÓVEL ONDE FUNCIONAM PROMOTORIAS DE JUSTIÇA DA COMARCA DE JUAZEIRO DO NORTE, CONF. CONTRATO 029/2022, REF. JAN,  2026, POR ESTIMATIVA.")</f>
        <v>EMPENHO REF. ALUGUEL DE IMÓVEL ONDE FUNCIONAM PROMOTORIAS DE JUSTIÇA DA COMARCA DE JUAZEIRO DO NORTE, CONF. CONTRATO 029/2022, REF. JAN,  2026, POR ESTIMATIVA.</v>
      </c>
      <c r="F18" s="2" t="s">
        <v>121</v>
      </c>
      <c r="G18" s="5" t="str">
        <f>HYPERLINK("https://siafe.sefaz.ce.gov.br/Siafe/downloadSignature?token=820c0ef29ae949f78a19808c1bac85e6","2026NE000018")</f>
        <v>2026NE000018</v>
      </c>
      <c r="H18" s="6">
        <v>70717.740000000005</v>
      </c>
      <c r="I18" s="7" t="s">
        <v>20</v>
      </c>
      <c r="J18" s="10" t="s">
        <v>135</v>
      </c>
    </row>
    <row r="19" spans="1:10" ht="51" x14ac:dyDescent="0.25">
      <c r="A19" s="12" t="s">
        <v>111</v>
      </c>
      <c r="B19" s="2" t="s">
        <v>115</v>
      </c>
      <c r="C19" s="3" t="str">
        <f>HYPERLINK("http://www8.mpce.mp.br/Dispensa/1984020196.pdf","19840/2019-6")</f>
        <v>19840/2019-6</v>
      </c>
      <c r="D19" s="4">
        <v>46045</v>
      </c>
      <c r="E19" s="16" t="str">
        <f>HYPERLINK("https://www8.mpce.mp.br/Empenhos/150001/Objeto/48-2019.pdf","EMPENHO REF. ALUGUEL DE IMÓVEL ONDE FUNCIONAM PROMOTORIAS DE JUSTIÇA DA COMARCA DE CAUCAIA, CONF. CONTRATO 048/2019, REF. JAN,  2026, POR ESTIMATIVA.")</f>
        <v>EMPENHO REF. ALUGUEL DE IMÓVEL ONDE FUNCIONAM PROMOTORIAS DE JUSTIÇA DA COMARCA DE CAUCAIA, CONF. CONTRATO 048/2019, REF. JAN,  2026, POR ESTIMATIVA.</v>
      </c>
      <c r="F19" s="2" t="s">
        <v>121</v>
      </c>
      <c r="G19" s="5" t="str">
        <f>HYPERLINK("https://siafe.sefaz.ce.gov.br/Siafe/downloadSignature?token=6a42fecd72b04420af2d47695040c191","2026NE000019")</f>
        <v>2026NE000019</v>
      </c>
      <c r="H19" s="6">
        <v>48652.37</v>
      </c>
      <c r="I19" s="7" t="s">
        <v>27</v>
      </c>
      <c r="J19" s="10" t="s">
        <v>134</v>
      </c>
    </row>
    <row r="20" spans="1:10" ht="51" x14ac:dyDescent="0.25">
      <c r="A20" s="12" t="s">
        <v>111</v>
      </c>
      <c r="B20" s="2" t="s">
        <v>115</v>
      </c>
      <c r="C20" s="3" t="str">
        <f>HYPERLINK("https://transparencia-area-fim.mpce.mp.br/#/consulta/processo/pastadigital/092023000338585","09.2023.00033858-5")</f>
        <v>09.2023.00033858-5</v>
      </c>
      <c r="D20" s="4">
        <v>46045</v>
      </c>
      <c r="E20" s="16" t="str">
        <f>HYPERLINK("https://www8.mpce.mp.br/Empenhos/150001/Objeto/62-2024.pdf","EMPENHO REF. ALUGUEL DE IMÓVEL ONDE FUNCIONAM PROMOTORIAS DE JUSTIÇA DA COMARCA DE LIMOEIRO DO NORTE, CONF. CONTRATO 062/2024, REF. JAN,  2026, POR ESTIMATIVA.")</f>
        <v>EMPENHO REF. ALUGUEL DE IMÓVEL ONDE FUNCIONAM PROMOTORIAS DE JUSTIÇA DA COMARCA DE LIMOEIRO DO NORTE, CONF. CONTRATO 062/2024, REF. JAN,  2026, POR ESTIMATIVA.</v>
      </c>
      <c r="F20" s="2" t="s">
        <v>121</v>
      </c>
      <c r="G20" s="5" t="str">
        <f>HYPERLINK("https://siafe.sefaz.ce.gov.br/Siafe/downloadSignature?token=2280822bde634ef4bb92628b5209aac2","2026NE000020")</f>
        <v>2026NE000020</v>
      </c>
      <c r="H20" s="6">
        <v>17425.98</v>
      </c>
      <c r="I20" s="7" t="s">
        <v>23</v>
      </c>
      <c r="J20" s="10" t="s">
        <v>136</v>
      </c>
    </row>
    <row r="21" spans="1:10" ht="38.25" x14ac:dyDescent="0.25">
      <c r="A21" s="12" t="s">
        <v>111</v>
      </c>
      <c r="B21" s="2" t="s">
        <v>115</v>
      </c>
      <c r="C21" s="3" t="str">
        <f>HYPERLINK("https://transparencia-area-fim.mpce.mp.br/#/consulta/processo/pastadigital/092021000244550","09.2021.00024455-0")</f>
        <v>09.2021.00024455-0</v>
      </c>
      <c r="D21" s="4">
        <v>46045</v>
      </c>
      <c r="E21" s="16" t="str">
        <f>HYPERLINK("https://www8.mpce.mp.br/Empenhos/150001/Objeto/10-2022.pdf","EMPENHO REF. ALUGUEL DE IMÓVEL ONDE FUNCIONAM PROMOTORIAS DE JUSTIÇA DA COMARCA DE ICÓ, CONF. CONTRATO 010/2022, REF. JAN,2026, POR ESTIMATIVA.")</f>
        <v>EMPENHO REF. ALUGUEL DE IMÓVEL ONDE FUNCIONAM PROMOTORIAS DE JUSTIÇA DA COMARCA DE ICÓ, CONF. CONTRATO 010/2022, REF. JAN,2026, POR ESTIMATIVA.</v>
      </c>
      <c r="F21" s="2" t="s">
        <v>121</v>
      </c>
      <c r="G21" s="5" t="str">
        <f>HYPERLINK("https://siafe.sefaz.ce.gov.br/Siafe/downloadSignature?token=e2d1afb7d983458db5d825275c98eb5a","2026NE000021")</f>
        <v>2026NE000021</v>
      </c>
      <c r="H21" s="6">
        <v>14124.88</v>
      </c>
      <c r="I21" s="7" t="s">
        <v>25</v>
      </c>
      <c r="J21" s="10" t="s">
        <v>137</v>
      </c>
    </row>
    <row r="22" spans="1:10" ht="51" x14ac:dyDescent="0.25">
      <c r="A22" s="12" t="s">
        <v>111</v>
      </c>
      <c r="B22" s="2" t="s">
        <v>115</v>
      </c>
      <c r="C22" s="3" t="str">
        <f>HYPERLINK("https://transparencia-area-fim.mpce.mp.br/#/consulta/processo/pastadigital/092022000343751","09.2022.00034375-1")</f>
        <v>09.2022.00034375-1</v>
      </c>
      <c r="D22" s="4">
        <v>46048</v>
      </c>
      <c r="E22" s="16" t="str">
        <f>HYPERLINK("https://www8.mpce.mp.br/Empenhos/150001/Objeto/08-2023.pdf","EMPENHO REF. ALUGUEL DE IMÓVEL ONDE FUNCIONAM PROMOTORIAS DE JUSTIÇA DA COMARCA DE QUIXERAMOBIM, CONF. CONTRATO 008/2023, REF. JAN,/2026, POR ESTIMATIVA.")</f>
        <v>EMPENHO REF. ALUGUEL DE IMÓVEL ONDE FUNCIONAM PROMOTORIAS DE JUSTIÇA DA COMARCA DE QUIXERAMOBIM, CONF. CONTRATO 008/2023, REF. JAN,/2026, POR ESTIMATIVA.</v>
      </c>
      <c r="F22" s="2" t="s">
        <v>121</v>
      </c>
      <c r="G22" s="5" t="str">
        <f>HYPERLINK("https://siafe.sefaz.ce.gov.br/Siafe/downloadSignature?token=e25544959f4444338666e8dee3deada5","2026NE000022")</f>
        <v>2026NE000022</v>
      </c>
      <c r="H22" s="6">
        <v>14776</v>
      </c>
      <c r="I22" s="7" t="s">
        <v>138</v>
      </c>
      <c r="J22" s="10" t="s">
        <v>139</v>
      </c>
    </row>
    <row r="23" spans="1:10" ht="51" x14ac:dyDescent="0.25">
      <c r="A23" s="12" t="s">
        <v>122</v>
      </c>
      <c r="B23" s="2" t="s">
        <v>125</v>
      </c>
      <c r="C23" s="3" t="str">
        <f>HYPERLINK("https://transparencia-area-fim.mpce.mp.br/#/consulta/processo/pastadigital/092024000173970","09.2024.00017397-0")</f>
        <v>09.2024.00017397-0</v>
      </c>
      <c r="D23" s="4">
        <v>46048</v>
      </c>
      <c r="E23" s="16" t="str">
        <f>HYPERLINK("https://www8.mpce.mp.br/Empenhos/150001/Objeto/44-2024.pdf","EMPENHO REF. ALUGUEL DE IMÓVEL ONDE FUNCIONAM PROMOTORIAS DE JUSTIÇA DA COMARCA DE ACARAÚ-CE, CONF. CONTRATO 044/2024, REF. JAN,/2026, POR ESTIMATIVA.")</f>
        <v>EMPENHO REF. ALUGUEL DE IMÓVEL ONDE FUNCIONAM PROMOTORIAS DE JUSTIÇA DA COMARCA DE ACARAÚ-CE, CONF. CONTRATO 044/2024, REF. JAN,/2026, POR ESTIMATIVA.</v>
      </c>
      <c r="F23" s="2" t="s">
        <v>121</v>
      </c>
      <c r="G23" s="5" t="str">
        <f>HYPERLINK("https://siafe.sefaz.ce.gov.br/Siafe/downloadSignature?token=da5fdefd2d6042baad387f717cb0ce1a","2026NE000023")</f>
        <v>2026NE000023</v>
      </c>
      <c r="H23" s="6">
        <v>3403.88</v>
      </c>
      <c r="I23" s="7" t="s">
        <v>47</v>
      </c>
      <c r="J23" s="10" t="s">
        <v>140</v>
      </c>
    </row>
    <row r="24" spans="1:10" ht="38.25" x14ac:dyDescent="0.25">
      <c r="A24" s="12" t="s">
        <v>111</v>
      </c>
      <c r="B24" s="2" t="s">
        <v>141</v>
      </c>
      <c r="C24" s="3" t="str">
        <f>HYPERLINK("https://transparencia-area-fim.mpce.mp.br/#/consulta/processo/pastadigital/092021000065217","09.2021.00006521-7")</f>
        <v>09.2021.00006521-7</v>
      </c>
      <c r="D24" s="4">
        <v>46045</v>
      </c>
      <c r="E24" s="16" t="str">
        <f>HYPERLINK("https://www8.mpce.mp.br/Empenhos/150001/Objeto/38-2021.pdf","EMPENHO REF. ALUGUEL DE IMÓVEL ONDE FUNCIONAM PROMOTORIAS DE JUSTIÇA DA COMARCA DE TAUÁ, CONF. CONTRATO 038/2021, REF. JAN, /2026, POR ESTIMATIVA.")</f>
        <v>EMPENHO REF. ALUGUEL DE IMÓVEL ONDE FUNCIONAM PROMOTORIAS DE JUSTIÇA DA COMARCA DE TAUÁ, CONF. CONTRATO 038/2021, REF. JAN, /2026, POR ESTIMATIVA.</v>
      </c>
      <c r="F24" s="2" t="s">
        <v>121</v>
      </c>
      <c r="G24" s="5" t="str">
        <f>HYPERLINK("https://siafe.sefaz.ce.gov.br/Siafe/downloadSignature?token=e989e38e58be4df99c66f06a6d7338b3","2026NE000024")</f>
        <v>2026NE000024</v>
      </c>
      <c r="H24" s="6">
        <v>19504.8</v>
      </c>
      <c r="I24" s="7" t="s">
        <v>26</v>
      </c>
      <c r="J24" s="10" t="s">
        <v>142</v>
      </c>
    </row>
    <row r="25" spans="1:10" ht="38.25" x14ac:dyDescent="0.25">
      <c r="A25" s="12" t="s">
        <v>111</v>
      </c>
      <c r="B25" s="2" t="s">
        <v>115</v>
      </c>
      <c r="C25" s="3" t="str">
        <f>HYPERLINK("http://www8.mpce.mp.br/Dispensa/146020136.pdf","1460/2013-6")</f>
        <v>1460/2013-6</v>
      </c>
      <c r="D25" s="4">
        <v>46048</v>
      </c>
      <c r="E25" s="16" t="str">
        <f>HYPERLINK("https://www8.mpce.mp.br/Empenhos/150001/Objeto/39-2013.pdf","EMPENHO REF. ALUGUEL ONDE FUNCIONAM PROMOTORIAS DE JUSTIÇA DA COMARCA DE CASCAVEL-CE, CONF. CONTRATO 039/2013, REF. JAN,/2026, POR ESTIMATIVA.")</f>
        <v>EMPENHO REF. ALUGUEL ONDE FUNCIONAM PROMOTORIAS DE JUSTIÇA DA COMARCA DE CASCAVEL-CE, CONF. CONTRATO 039/2013, REF. JAN,/2026, POR ESTIMATIVA.</v>
      </c>
      <c r="F25" s="2" t="s">
        <v>113</v>
      </c>
      <c r="G25" s="5" t="str">
        <f>HYPERLINK("https://siafe.sefaz.ce.gov.br/Siafe/downloadSignature?token=819011f291bf4bd590d8b06c0d077e75","2026NE000025")</f>
        <v>2026NE000025</v>
      </c>
      <c r="H25" s="6">
        <v>4341.5600000000004</v>
      </c>
      <c r="I25" s="7" t="s">
        <v>83</v>
      </c>
      <c r="J25" s="10" t="s">
        <v>143</v>
      </c>
    </row>
    <row r="26" spans="1:10" ht="51" x14ac:dyDescent="0.25">
      <c r="A26" s="12" t="s">
        <v>111</v>
      </c>
      <c r="B26" s="2" t="s">
        <v>141</v>
      </c>
      <c r="C26" s="3" t="str">
        <f>HYPERLINK("https://transparencia-area-fim.mpce.mp.br/#/consulta/processo/pastadigital/092021000064195","09.2021.00006419-5")</f>
        <v>09.2021.00006419-5</v>
      </c>
      <c r="D26" s="4">
        <v>46045</v>
      </c>
      <c r="E26" s="16" t="str">
        <f>HYPERLINK("https://www8.mpce.mp.br/Empenhos/150001/Objeto/41-2021.pdf","EMPENHO REF. ALUGUEL DE IMÓVEL ONDE FUNCIONAM PROMOTORIAS DE JUSTIÇA DA COMARCA DE QUIXADÁ, CONF. CONTRATO 041/2021, REF. JAN,/2026, POR ESTIMATIVA.")</f>
        <v>EMPENHO REF. ALUGUEL DE IMÓVEL ONDE FUNCIONAM PROMOTORIAS DE JUSTIÇA DA COMARCA DE QUIXADÁ, CONF. CONTRATO 041/2021, REF. JAN,/2026, POR ESTIMATIVA.</v>
      </c>
      <c r="F26" s="2" t="s">
        <v>121</v>
      </c>
      <c r="G26" s="5" t="str">
        <f>HYPERLINK("https://siafe.sefaz.ce.gov.br/Siafe/downloadSignature?token=15747190a37043f7b6fcca89a7e3410a","2026NE000026")</f>
        <v>2026NE000026</v>
      </c>
      <c r="H26" s="6">
        <v>19363.07</v>
      </c>
      <c r="I26" s="7" t="s">
        <v>144</v>
      </c>
      <c r="J26" s="10" t="s">
        <v>145</v>
      </c>
    </row>
    <row r="27" spans="1:10" ht="38.25" x14ac:dyDescent="0.25">
      <c r="A27" s="12" t="s">
        <v>122</v>
      </c>
      <c r="B27" s="2" t="s">
        <v>146</v>
      </c>
      <c r="C27" s="3" t="str">
        <f>HYPERLINK("https://transparencia-area-fim.mpce.mp.br/#/consulta/processo/pastadigital/092022000083885","09.2022.00008388-5")</f>
        <v>09.2022.00008388-5</v>
      </c>
      <c r="D27" s="4">
        <v>46048</v>
      </c>
      <c r="E27" s="16" t="str">
        <f>HYPERLINK("https://www8.mpce.mp.br/Empenhos/150001/Objeto/36-2023.pdf","EMPENHO REF. ALUGUEL DE IMÓVEL QUE ABRIGA PROMOTORIAS DE JUSTIÇA DA COMAR, CONF. CONTRATO 036/2023, REF. JAN, /2026, POR ESTIMATIVA.")</f>
        <v>EMPENHO REF. ALUGUEL DE IMÓVEL QUE ABRIGA PROMOTORIAS DE JUSTIÇA DA COMAR, CONF. CONTRATO 036/2023, REF. JAN, /2026, POR ESTIMATIVA.</v>
      </c>
      <c r="F27" s="2" t="s">
        <v>113</v>
      </c>
      <c r="G27" s="5" t="str">
        <f>HYPERLINK("https://siafe.sefaz.ce.gov.br/Siafe/downloadSignature?token=95d3af76754248858113e7dc35a151fc","2026NE000027")</f>
        <v>2026NE000027</v>
      </c>
      <c r="H27" s="6">
        <v>4104.5600000000004</v>
      </c>
      <c r="I27" s="7" t="s">
        <v>48</v>
      </c>
      <c r="J27" s="10" t="s">
        <v>147</v>
      </c>
    </row>
    <row r="28" spans="1:10" ht="51" x14ac:dyDescent="0.25">
      <c r="A28" s="12" t="s">
        <v>111</v>
      </c>
      <c r="B28" s="2" t="s">
        <v>115</v>
      </c>
      <c r="C28" s="3" t="str">
        <f>HYPERLINK("https://transparencia-area-fim.mpce.mp.br/#/consulta/processo/pastadigital/092023000338563","09.2023.00033856-3")</f>
        <v>09.2023.00033856-3</v>
      </c>
      <c r="D28" s="4">
        <v>46045</v>
      </c>
      <c r="E28" s="16" t="str">
        <f>HYPERLINK("https://www8.mpce.mp.br/Empenhos/150001/Objeto/01-2024.pdf","EMPENHO REF. ALUGUEL DE IMÓVEL ONDE FUNCIONAM PROMOTORIAS DE JUSTIÇA DA COMARCA DE MORADA NOVA, CONF. CONTRATO 036/2024, REF. JAN, 2026, POR ESTIMATIVA.")</f>
        <v>EMPENHO REF. ALUGUEL DE IMÓVEL ONDE FUNCIONAM PROMOTORIAS DE JUSTIÇA DA COMARCA DE MORADA NOVA, CONF. CONTRATO 036/2024, REF. JAN, 2026, POR ESTIMATIVA.</v>
      </c>
      <c r="F28" s="2" t="s">
        <v>121</v>
      </c>
      <c r="G28" s="5" t="str">
        <f>HYPERLINK("https://siafe.sefaz.ce.gov.br/Siafe/downloadSignature?token=0172b64429c6430ca76244b8407d5c7a","2026NE000028")</f>
        <v>2026NE000028</v>
      </c>
      <c r="H28" s="6">
        <v>18387.5</v>
      </c>
      <c r="I28" s="7" t="s">
        <v>27</v>
      </c>
      <c r="J28" s="10" t="s">
        <v>134</v>
      </c>
    </row>
    <row r="29" spans="1:10" ht="51" x14ac:dyDescent="0.25">
      <c r="A29" s="12" t="s">
        <v>122</v>
      </c>
      <c r="B29" s="2" t="s">
        <v>146</v>
      </c>
      <c r="C29" s="3" t="str">
        <f>HYPERLINK("https://transparencia-area-fim.mpce.mp.br/#/consulta/processo/pastadigital/092025000026529","09.2025.00002652-9")</f>
        <v>09.2025.00002652-9</v>
      </c>
      <c r="D29" s="4">
        <v>46048</v>
      </c>
      <c r="E29" s="16" t="str">
        <f>HYPERLINK("https://www8.mpce.mp.br/Empenhos/150001/Objeto/33-2025.pdf","EMPENHO REF. ALUGUEL DE IMÓVEL ONDE FUNCIONAM PROMOTORIAS DE JUSTIÇA DA COMARCA DE JIJOCA DE JERICOACOARA, CONF. CONTRATO 033/2025, REF. JAN,R/2026, POR ESTIMATIVA.")</f>
        <v>EMPENHO REF. ALUGUEL DE IMÓVEL ONDE FUNCIONAM PROMOTORIAS DE JUSTIÇA DA COMARCA DE JIJOCA DE JERICOACOARA, CONF. CONTRATO 033/2025, REF. JAN,R/2026, POR ESTIMATIVA.</v>
      </c>
      <c r="F29" s="2" t="s">
        <v>113</v>
      </c>
      <c r="G29" s="5" t="str">
        <f>HYPERLINK("https://siafe.sefaz.ce.gov.br/Siafe/downloadSignature?token=0d3602bfb6cd47d4a2a33823e43688be","2026NE000029")</f>
        <v>2026NE000029</v>
      </c>
      <c r="H29" s="6">
        <v>5000</v>
      </c>
      <c r="I29" s="7" t="s">
        <v>148</v>
      </c>
      <c r="J29" s="10" t="s">
        <v>149</v>
      </c>
    </row>
    <row r="30" spans="1:10" ht="38.25" x14ac:dyDescent="0.25">
      <c r="A30" s="12" t="s">
        <v>122</v>
      </c>
      <c r="B30" s="2" t="s">
        <v>123</v>
      </c>
      <c r="C30" s="3" t="str">
        <f>HYPERLINK("https://transparencia-area-fim.mpce.mp.br/#/consulta/processo/pastadigital/092022000426227","09.2022.00042622-7")</f>
        <v>09.2022.00042622-7</v>
      </c>
      <c r="D30" s="4">
        <v>46048</v>
      </c>
      <c r="E30" s="16" t="str">
        <f>HYPERLINK("https://www8.mpce.mp.br/Empenhos/150001/Objeto/33-2023.pdf","EMPENHO REF. ALUGUEL DE IMÓVEL ONDE FUNCIONAM PROMOTORIAS DE JUSTIÇA DA COMARCA DE JUCÁS, CONF. CONTRATO 033/2023, REF. JAN,/2026, POR ESTIMATIVA.")</f>
        <v>EMPENHO REF. ALUGUEL DE IMÓVEL ONDE FUNCIONAM PROMOTORIAS DE JUSTIÇA DA COMARCA DE JUCÁS, CONF. CONTRATO 033/2023, REF. JAN,/2026, POR ESTIMATIVA.</v>
      </c>
      <c r="F30" s="2" t="s">
        <v>113</v>
      </c>
      <c r="G30" s="5" t="str">
        <f>HYPERLINK("https://siafe.sefaz.ce.gov.br/Siafe/downloadSignature?token=4d912bc52b5e46f3a487747dcaf842c3","2026NE000030")</f>
        <v>2026NE000030</v>
      </c>
      <c r="H30" s="6">
        <v>2500</v>
      </c>
      <c r="I30" s="7" t="s">
        <v>45</v>
      </c>
      <c r="J30" s="10" t="s">
        <v>150</v>
      </c>
    </row>
    <row r="31" spans="1:10" ht="51" x14ac:dyDescent="0.25">
      <c r="A31" s="12" t="s">
        <v>111</v>
      </c>
      <c r="B31" s="2" t="s">
        <v>151</v>
      </c>
      <c r="C31" s="3" t="str">
        <f>HYPERLINK("https://transparencia-area-fim.mpce.mp.br/#/consulta/processo/pastadigital/092021000166790","09.2021.00016679-0")</f>
        <v>09.2021.00016679-0</v>
      </c>
      <c r="D31" s="4">
        <v>46048</v>
      </c>
      <c r="E31" s="16" t="str">
        <f>HYPERLINK("https://www8.mpce.mp.br/Empenhos/150001/Objeto/24-2022.pdf","EMPENHO REF. ALUGUEL DE IMÓVEL ONDE FUNCIONAM PROMOTORIAS DE JUSTIÇA DA COMARCA DE HORIZONTE, CONF. CONTRATO 024/2022, REF. JAN,/2026, POR ESTIMATIVA.")</f>
        <v>EMPENHO REF. ALUGUEL DE IMÓVEL ONDE FUNCIONAM PROMOTORIAS DE JUSTIÇA DA COMARCA DE HORIZONTE, CONF. CONTRATO 024/2022, REF. JAN,/2026, POR ESTIMATIVA.</v>
      </c>
      <c r="F31" s="2" t="s">
        <v>113</v>
      </c>
      <c r="G31" s="5" t="str">
        <f>HYPERLINK("https://siafe.sefaz.ce.gov.br/Siafe/downloadSignature?token=df06a1118719455d85b4ac73eeb87a33","2026NE000031")</f>
        <v>2026NE000031</v>
      </c>
      <c r="H31" s="6">
        <v>2501.6999999999998</v>
      </c>
      <c r="I31" s="7" t="s">
        <v>35</v>
      </c>
      <c r="J31" s="10" t="s">
        <v>152</v>
      </c>
    </row>
    <row r="32" spans="1:10" ht="51" x14ac:dyDescent="0.25">
      <c r="A32" s="12" t="s">
        <v>111</v>
      </c>
      <c r="B32" s="2" t="s">
        <v>151</v>
      </c>
      <c r="C32" s="3" t="str">
        <f>HYPERLINK("http://www8.mpce.mp.br/Dispensa/575920103.pdf","5759/2010-3")</f>
        <v>5759/2010-3</v>
      </c>
      <c r="D32" s="4">
        <v>46048</v>
      </c>
      <c r="E32" s="16" t="str">
        <f>HYPERLINK("https://www8.mpce.mp.br/Empenhos/150001/Objeto/22-2010.pdf","EMPENHO REF. ALUGUEL DE IMÓVEL ONDE FUNCIONAM PROMOTORIAS DE JUSTIÇA DA COMARCA DE GUAIÚBA, CONF. CONTRATO 022/2010, REF. JAN, /2026, POR ESTIMATIVA.")</f>
        <v>EMPENHO REF. ALUGUEL DE IMÓVEL ONDE FUNCIONAM PROMOTORIAS DE JUSTIÇA DA COMARCA DE GUAIÚBA, CONF. CONTRATO 022/2010, REF. JAN, /2026, POR ESTIMATIVA.</v>
      </c>
      <c r="F32" s="2" t="s">
        <v>113</v>
      </c>
      <c r="G32" s="5" t="str">
        <f>HYPERLINK("https://siafe.sefaz.ce.gov.br/Siafe/downloadSignature?token=ae9d1677651546b1af3f803438af6b18","2026NE000032")</f>
        <v>2026NE000032</v>
      </c>
      <c r="H32" s="6">
        <v>2455.94</v>
      </c>
      <c r="I32" s="7" t="s">
        <v>82</v>
      </c>
      <c r="J32" s="10" t="s">
        <v>153</v>
      </c>
    </row>
    <row r="33" spans="1:10" ht="51" x14ac:dyDescent="0.25">
      <c r="A33" s="12" t="s">
        <v>111</v>
      </c>
      <c r="B33" s="2" t="s">
        <v>151</v>
      </c>
      <c r="C33" s="3" t="str">
        <f>HYPERLINK("http://www8.mpce.mp.br/Dispensa/842220170.pdf","8422/20170")</f>
        <v>8422/20170</v>
      </c>
      <c r="D33" s="4">
        <v>46045</v>
      </c>
      <c r="E33" s="16" t="str">
        <f>HYPERLINK("https://www8.mpce.mp.br/Empenhos/150001/Objeto/16-2017.pdf","EMPENHO REF. ALUGUEL DE IMÓVEL ONDE FUNCIONAM PROMOTORIAS DE JUSTIÇA DA COMARCA CRIMINAIS DE FORTALEZA, CONF. CONTRATO 016/2017, REF. JAN, /2026, POR ESTIMATIVA.")</f>
        <v>EMPENHO REF. ALUGUEL DE IMÓVEL ONDE FUNCIONAM PROMOTORIAS DE JUSTIÇA DA COMARCA CRIMINAIS DE FORTALEZA, CONF. CONTRATO 016/2017, REF. JAN, /2026, POR ESTIMATIVA.</v>
      </c>
      <c r="F33" s="2" t="s">
        <v>121</v>
      </c>
      <c r="G33" s="5" t="str">
        <f>HYPERLINK("https://siafe.sefaz.ce.gov.br/Siafe/downloadSignature?token=7e3648337b0d4a41b52288086353f920","2026NE000033")</f>
        <v>2026NE000033</v>
      </c>
      <c r="H33" s="6">
        <v>63283.24</v>
      </c>
      <c r="I33" s="7" t="s">
        <v>29</v>
      </c>
      <c r="J33" s="10" t="s">
        <v>154</v>
      </c>
    </row>
    <row r="34" spans="1:10" ht="51" x14ac:dyDescent="0.25">
      <c r="A34" s="12" t="s">
        <v>122</v>
      </c>
      <c r="B34" s="2" t="s">
        <v>146</v>
      </c>
      <c r="C34" s="3" t="str">
        <f>HYPERLINK("https://transparencia-area-fim.mpce.mp.br/#/consulta/processo/pastadigital/092024000026236","09.2024.00002623-6")</f>
        <v>09.2024.00002623-6</v>
      </c>
      <c r="D34" s="4">
        <v>46048</v>
      </c>
      <c r="E34" s="16" t="str">
        <f>HYPERLINK("https://www8.mpce.mp.br/Empenhos/150001/Objeto/18-2024.pdf","AQUISIÇÃO DE VALES TRANSPORTES CATEGORIAS DIVERSAS PARA COMTEMPLAR OS MESES DE FEVEREIRO A DEZEMBRO DE 2026 PARA SERVIDORES DESTE MP-CE CONFORME CONTRATO 018/2024.")</f>
        <v>AQUISIÇÃO DE VALES TRANSPORTES CATEGORIAS DIVERSAS PARA COMTEMPLAR OS MESES DE FEVEREIRO A DEZEMBRO DE 2026 PARA SERVIDORES DESTE MP-CE CONFORME CONTRATO 018/2024.</v>
      </c>
      <c r="F34" s="2" t="s">
        <v>155</v>
      </c>
      <c r="G34" s="5" t="str">
        <f>HYPERLINK("https://siafe.sefaz.ce.gov.br/Siafe/downloadSignature?token=b57707e1e8474ee19480c060cea2c1cf","2026NE000034")</f>
        <v>2026NE000034</v>
      </c>
      <c r="H34" s="6">
        <v>15004.5</v>
      </c>
      <c r="I34" s="7" t="s">
        <v>51</v>
      </c>
      <c r="J34" s="10" t="s">
        <v>156</v>
      </c>
    </row>
    <row r="35" spans="1:10" ht="38.25" x14ac:dyDescent="0.25">
      <c r="A35" s="12" t="s">
        <v>111</v>
      </c>
      <c r="B35" s="2" t="s">
        <v>151</v>
      </c>
      <c r="C35" s="3" t="str">
        <f>HYPERLINK("http://www8.mpce.mp.br/Dispensa/4793720162.pdf","4793720162")</f>
        <v>4793720162</v>
      </c>
      <c r="D35" s="4">
        <v>46045</v>
      </c>
      <c r="E35" s="16" t="str">
        <f>HYPERLINK("https://www8.mpce.mp.br/Empenhos/150001/Objeto/14-2017.pdf","EMPENHO REF. ALUGUEL DE IMÓVEL ONDE FUNCIONAM ALMOXARIFADO E PATRIMÔNIO, CONF. CONTRATO 014/2017, REF. JAN, /2026, POR ESTIMATIVA.")</f>
        <v>EMPENHO REF. ALUGUEL DE IMÓVEL ONDE FUNCIONAM ALMOXARIFADO E PATRIMÔNIO, CONF. CONTRATO 014/2017, REF. JAN, /2026, POR ESTIMATIVA.</v>
      </c>
      <c r="F35" s="2" t="s">
        <v>121</v>
      </c>
      <c r="G35" s="5" t="str">
        <f>HYPERLINK("https://siafe.sefaz.ce.gov.br/Siafe/downloadSignature?token=8822e204c55f40afafdadeef1287b232","2026NE000034")</f>
        <v>2026NE000034</v>
      </c>
      <c r="H35" s="6">
        <v>27200</v>
      </c>
      <c r="I35" s="7" t="s">
        <v>30</v>
      </c>
      <c r="J35" s="10" t="s">
        <v>157</v>
      </c>
    </row>
    <row r="36" spans="1:10" ht="38.25" x14ac:dyDescent="0.25">
      <c r="A36" s="12" t="s">
        <v>111</v>
      </c>
      <c r="B36" s="2" t="s">
        <v>158</v>
      </c>
      <c r="C36" s="3" t="str">
        <f>HYPERLINK("http://www8.mpce.mp.br/Dispensa/4793720162.pdf","4793720162")</f>
        <v>4793720162</v>
      </c>
      <c r="D36" s="4">
        <v>46045</v>
      </c>
      <c r="E36" s="16" t="str">
        <f>HYPERLINK("https://www8.mpce.mp.br/Empenhos/150001/Objeto/14-2017.pdf","EMPENHO REF. ALUGUEL DE IMÓVEL ONDE FUNCIONAM ALMOXARIFADO E PATRIMÔNIO, CONF. CONTRATO 054/2023, REF. JAN, /2026, POR ESTIMATIVA.")</f>
        <v>EMPENHO REF. ALUGUEL DE IMÓVEL ONDE FUNCIONAM ALMOXARIFADO E PATRIMÔNIO, CONF. CONTRATO 054/2023, REF. JAN, /2026, POR ESTIMATIVA.</v>
      </c>
      <c r="F36" s="2" t="s">
        <v>121</v>
      </c>
      <c r="G36" s="5" t="str">
        <f>HYPERLINK("https://siafe.sefaz.ce.gov.br/Siafe/downloadSignature?token=7bb592bbd3df46d3b6cf9f885392b98f","2026NE000035")</f>
        <v>2026NE000035</v>
      </c>
      <c r="H36" s="6">
        <v>23584.99</v>
      </c>
      <c r="I36" s="7" t="s">
        <v>30</v>
      </c>
      <c r="J36" s="10" t="s">
        <v>157</v>
      </c>
    </row>
    <row r="37" spans="1:10" ht="25.5" x14ac:dyDescent="0.25">
      <c r="A37" s="12" t="s">
        <v>111</v>
      </c>
      <c r="B37" s="2" t="s">
        <v>159</v>
      </c>
      <c r="C37" s="3" t="str">
        <f>HYPERLINK("https://transparencia-area-fim.mpce.mp.br/#/consulta/processo/pastadigital/092026000008590","09.2026.00000859-0")</f>
        <v>09.2026.00000859-0</v>
      </c>
      <c r="D37" s="4">
        <v>46048</v>
      </c>
      <c r="E37" s="16" t="s">
        <v>160</v>
      </c>
      <c r="F37" s="2" t="s">
        <v>161</v>
      </c>
      <c r="G37" s="5" t="str">
        <f>HYPERLINK("https://siafe.sefaz.ce.gov.br/Siafe/downloadSignature?token=d5394cfdf21d41b68233f7fd5c00cc9c","2026NE000036")</f>
        <v>2026NE000036</v>
      </c>
      <c r="H37" s="6">
        <v>2499</v>
      </c>
      <c r="I37" s="7" t="s">
        <v>162</v>
      </c>
      <c r="J37" s="10" t="s">
        <v>163</v>
      </c>
    </row>
    <row r="38" spans="1:10" ht="51" x14ac:dyDescent="0.25">
      <c r="A38" s="12" t="s">
        <v>111</v>
      </c>
      <c r="B38" s="2" t="s">
        <v>151</v>
      </c>
      <c r="C38" s="3" t="str">
        <f>HYPERLINK("https://transparencia-area-fim.mpce.mp.br/#/consulta/processo/pastadigital/092022000343840","09.2022.00034384-0")</f>
        <v>09.2022.00034384-0</v>
      </c>
      <c r="D38" s="4">
        <v>46058</v>
      </c>
      <c r="E38" s="16" t="str">
        <f>HYPERLINK("https://www8.mpce.mp.br/Empenhos/150001/Objeto/11-2023.pdf","EMPENHO REF. ALUGUEL DE IMÓVEL ONDE FUNCIONAM PROMOTORIAS DE JUSTIÇA DA COMARCA DE SANTA QUITÉRIA, CONF. CONTRATO 011/2023, REF. JAN, /2026, POR ESTIMATIVA.")</f>
        <v>EMPENHO REF. ALUGUEL DE IMÓVEL ONDE FUNCIONAM PROMOTORIAS DE JUSTIÇA DA COMARCA DE SANTA QUITÉRIA, CONF. CONTRATO 011/2023, REF. JAN, /2026, POR ESTIMATIVA.</v>
      </c>
      <c r="F38" s="2" t="s">
        <v>121</v>
      </c>
      <c r="G38" s="5" t="str">
        <f>HYPERLINK("https://siafe.sefaz.ce.gov.br/Siafe/downloadSignature?token=ec1f14da2f5248c9ae7719c185e80ad4","2026NE000036")</f>
        <v>2026NE000036</v>
      </c>
      <c r="H38" s="6">
        <v>13867.6</v>
      </c>
      <c r="I38" s="7" t="s">
        <v>53</v>
      </c>
      <c r="J38" s="10" t="s">
        <v>235</v>
      </c>
    </row>
    <row r="39" spans="1:10" ht="51" x14ac:dyDescent="0.25">
      <c r="A39" s="12" t="s">
        <v>111</v>
      </c>
      <c r="B39" s="2" t="s">
        <v>151</v>
      </c>
      <c r="C39" s="3" t="str">
        <f>HYPERLINK("https://transparencia-area-fim.mpce.mp.br/#/consulta/processo/pastadigital/092021000244449","09.2021.00024444-9")</f>
        <v>09.2021.00024444-9</v>
      </c>
      <c r="D39" s="4">
        <v>46045</v>
      </c>
      <c r="E39" s="16" t="str">
        <f>HYPERLINK("https://www8.mpce.mp.br/Empenhos/150001/Objeto/12-2022.pdf","EMPENHO REF. ALUGUEL DE IMÓVEL ONDE FUNCIONAM PROMOTORIAS DE JUSTIÇA DA COMARCA DE RUSSAS, CONF. CONTRATO 012/2022, REF. JAN, /2026, POR ESTIMATIVA.")</f>
        <v>EMPENHO REF. ALUGUEL DE IMÓVEL ONDE FUNCIONAM PROMOTORIAS DE JUSTIÇA DA COMARCA DE RUSSAS, CONF. CONTRATO 012/2022, REF. JAN, /2026, POR ESTIMATIVA.</v>
      </c>
      <c r="F39" s="2" t="s">
        <v>121</v>
      </c>
      <c r="G39" s="5" t="str">
        <f>HYPERLINK("https://siafe.sefaz.ce.gov.br/Siafe/downloadSignature?token=1a85b5f1674e4b2cb9023dc5dba327f3","2026NE000037")</f>
        <v>2026NE000037</v>
      </c>
      <c r="H39" s="6">
        <v>21918.43</v>
      </c>
      <c r="I39" s="7" t="s">
        <v>164</v>
      </c>
      <c r="J39" s="10" t="s">
        <v>165</v>
      </c>
    </row>
    <row r="40" spans="1:10" ht="51" x14ac:dyDescent="0.25">
      <c r="A40" s="12" t="s">
        <v>111</v>
      </c>
      <c r="B40" s="2" t="s">
        <v>151</v>
      </c>
      <c r="C40" s="3" t="str">
        <f>HYPERLINK("http://www8.mpce.mp.br/Dispensa/1955220197.pdf","19552/2019-7")</f>
        <v>19552/2019-7</v>
      </c>
      <c r="D40" s="4">
        <v>46048</v>
      </c>
      <c r="E40" s="16" t="str">
        <f>HYPERLINK("https://www8.mpce.mp.br/Empenhos/150001/Objeto/85-2019.pdf","EMPENHO REF. ALUGUEL DE IMÓVEL ONDE FUNCIONAM PROMOTORIAS DE JUSTIÇA DA COMARCA DE PARAIPABA, CONF. CONTRATO 085/2019, REF. JAN, FEV E MAR/2026, POR ESTIMATIVA.")</f>
        <v>EMPENHO REF. ALUGUEL DE IMÓVEL ONDE FUNCIONAM PROMOTORIAS DE JUSTIÇA DA COMARCA DE PARAIPABA, CONF. CONTRATO 085/2019, REF. JAN, FEV E MAR/2026, POR ESTIMATIVA.</v>
      </c>
      <c r="F40" s="2" t="s">
        <v>113</v>
      </c>
      <c r="G40" s="5" t="str">
        <f>HYPERLINK("https://siafe.sefaz.ce.gov.br/Siafe/downloadSignature?token=3ef45806cf7f4be08ec6c2154bdd6ca5","2026NE000038")</f>
        <v>2026NE000038</v>
      </c>
      <c r="H40" s="6">
        <v>4176.3900000000003</v>
      </c>
      <c r="I40" s="7" t="s">
        <v>40</v>
      </c>
      <c r="J40" s="10" t="s">
        <v>166</v>
      </c>
    </row>
    <row r="41" spans="1:10" ht="38.25" x14ac:dyDescent="0.25">
      <c r="A41" s="12" t="s">
        <v>122</v>
      </c>
      <c r="B41" s="2" t="s">
        <v>146</v>
      </c>
      <c r="C41" s="3" t="str">
        <f>HYPERLINK("https://transparencia-area-fim.mpce.mp.br/#/consulta/processo/pastadigital/092024000240032","09.2024.00024003-2")</f>
        <v>09.2024.00024003-2</v>
      </c>
      <c r="D41" s="4">
        <v>46048</v>
      </c>
      <c r="E41" s="16" t="str">
        <f>HYPERLINK("https://www8.mpce.mp.br/Empenhos/150001/Objeto/93-2024.pdf","EMPENHO REF. ALUGUEL DE IMÓVEL ONDE FUNCIONAM PROMOTORIAS DE JUSTIÇA DA COMARCA DE IPU, CONF. CONTRATO 093/2024, REF. JAN, /2026, POR ESTIMATIVA.")</f>
        <v>EMPENHO REF. ALUGUEL DE IMÓVEL ONDE FUNCIONAM PROMOTORIAS DE JUSTIÇA DA COMARCA DE IPU, CONF. CONTRATO 093/2024, REF. JAN, /2026, POR ESTIMATIVA.</v>
      </c>
      <c r="F41" s="2" t="s">
        <v>113</v>
      </c>
      <c r="G41" s="5" t="str">
        <f>HYPERLINK("https://siafe.sefaz.ce.gov.br/Siafe/downloadSignature?token=3baa7384b4a04c54907cc350b9b6903c","2026NE000039")</f>
        <v>2026NE000039</v>
      </c>
      <c r="H41" s="6">
        <v>3817</v>
      </c>
      <c r="I41" s="7" t="s">
        <v>167</v>
      </c>
      <c r="J41" s="10" t="s">
        <v>168</v>
      </c>
    </row>
    <row r="42" spans="1:10" ht="51" x14ac:dyDescent="0.25">
      <c r="A42" s="12" t="s">
        <v>111</v>
      </c>
      <c r="B42" s="2" t="s">
        <v>151</v>
      </c>
      <c r="C42" s="3" t="str">
        <f>HYPERLINK("https://transparencia-area-fim.mpce.mp.br/#/consulta/processo/pastadigital/092022000343829","09.2022.00034382-9")</f>
        <v>09.2022.00034382-9</v>
      </c>
      <c r="D42" s="4">
        <v>46052</v>
      </c>
      <c r="E42" s="16" t="str">
        <f>HYPERLINK("https://www8.mpce.mp.br/Empenhos/150001/Objeto/10-2023.pdf","EMPENHO REF. ALUGUEL DE IMÓVEL ONDE FUNCIONAM PROMOTORIAS DE JUSTIÇA DA COMARCA DE ITAPAJÉ, CONF. CONTRATO 010/2023, REF. JAN/2026, POR ESTIMATIVA.")</f>
        <v>EMPENHO REF. ALUGUEL DE IMÓVEL ONDE FUNCIONAM PROMOTORIAS DE JUSTIÇA DA COMARCA DE ITAPAJÉ, CONF. CONTRATO 010/2023, REF. JAN/2026, POR ESTIMATIVA.</v>
      </c>
      <c r="F42" s="2" t="s">
        <v>121</v>
      </c>
      <c r="G42" s="5" t="str">
        <f>HYPERLINK("https://siafe.sefaz.ce.gov.br/Siafe/downloadSignature?token=77708f2aa61949a48675dcd2c547706f","2026NE000040")</f>
        <v>2026NE000040</v>
      </c>
      <c r="H42" s="6">
        <v>14259.64</v>
      </c>
      <c r="I42" s="7" t="s">
        <v>169</v>
      </c>
      <c r="J42" s="10" t="s">
        <v>170</v>
      </c>
    </row>
    <row r="43" spans="1:10" ht="51" x14ac:dyDescent="0.25">
      <c r="A43" s="12" t="s">
        <v>111</v>
      </c>
      <c r="B43" s="2" t="s">
        <v>151</v>
      </c>
      <c r="C43" s="3" t="str">
        <f>HYPERLINK("https://transparencia-area-fim.mpce.mp.br/#/consulta/processo/pastadigital/092021000244582","09.2021.00024458-2")</f>
        <v>09.2021.00024458-2</v>
      </c>
      <c r="D43" s="4">
        <v>46045</v>
      </c>
      <c r="E43" s="16" t="str">
        <f>HYPERLINK("https://www8.mpce.mp.br/Empenhos/150001/Objeto/11-2022.pdf","EMPENHO REF. ALUGUEL DE IMÓVEL ONDE FUNCIONAM PROMOTORIAS DE JUSTIÇA DA COMARCA DE ARACATI, CONF. CONTRATO 011/2022, REF. JAN/2026, POR ESTIMATIVA.")</f>
        <v>EMPENHO REF. ALUGUEL DE IMÓVEL ONDE FUNCIONAM PROMOTORIAS DE JUSTIÇA DA COMARCA DE ARACATI, CONF. CONTRATO 011/2022, REF. JAN/2026, POR ESTIMATIVA.</v>
      </c>
      <c r="F43" s="2" t="s">
        <v>121</v>
      </c>
      <c r="G43" s="5" t="str">
        <f>HYPERLINK("https://siafe.sefaz.ce.gov.br/Siafe/downloadSignature?token=282306c46b214163bc86fbc8eb56922f","2026NE000041")</f>
        <v>2026NE000041</v>
      </c>
      <c r="H43" s="6">
        <v>19398.89</v>
      </c>
      <c r="I43" s="7" t="s">
        <v>24</v>
      </c>
      <c r="J43" s="10" t="s">
        <v>171</v>
      </c>
    </row>
    <row r="44" spans="1:10" ht="51" x14ac:dyDescent="0.25">
      <c r="A44" s="12" t="s">
        <v>111</v>
      </c>
      <c r="B44" s="2" t="s">
        <v>151</v>
      </c>
      <c r="C44" s="3" t="str">
        <f>HYPERLINK("https://transparencia-area-fim.mpce.mp.br/#/consulta/processo/pastadigital/092022000081432","09.2022.00008143-2")</f>
        <v>09.2022.00008143-2</v>
      </c>
      <c r="D44" s="4">
        <v>46045</v>
      </c>
      <c r="E44" s="16" t="str">
        <f>HYPERLINK("https://www8.mpce.mp.br/Empenhos/150001/Objeto/16-2022.pdf","EMPENHO REF. ALUGUEL DE IMÓVEL ONDE FUNCIONAM PROMOTORIAS DE JUSTIÇA DA COMARCA DE BARBALHA, CONF. CONTRATO 016/2022, REF. JAN/2026, POR ESTIMATIVA.")</f>
        <v>EMPENHO REF. ALUGUEL DE IMÓVEL ONDE FUNCIONAM PROMOTORIAS DE JUSTIÇA DA COMARCA DE BARBALHA, CONF. CONTRATO 016/2022, REF. JAN/2026, POR ESTIMATIVA.</v>
      </c>
      <c r="F44" s="2" t="s">
        <v>121</v>
      </c>
      <c r="G44" s="5" t="str">
        <f>HYPERLINK("https://siafe.sefaz.ce.gov.br/Siafe/downloadSignature?token=83c2e75e331c47b690ee0d6ddaf10927","2026NE000042")</f>
        <v>2026NE000042</v>
      </c>
      <c r="H44" s="6">
        <v>17343.07</v>
      </c>
      <c r="I44" s="7" t="s">
        <v>20</v>
      </c>
      <c r="J44" s="10" t="s">
        <v>135</v>
      </c>
    </row>
    <row r="45" spans="1:10" ht="51" x14ac:dyDescent="0.25">
      <c r="A45" s="12" t="s">
        <v>122</v>
      </c>
      <c r="B45" s="2" t="s">
        <v>146</v>
      </c>
      <c r="C45" s="3" t="str">
        <f>HYPERLINK("https://transparencia-area-fim.mpce.mp.br/#/consulta/processo/pastadigital/092024000115580","09.2024.00011558-0")</f>
        <v>09.2024.00011558-0</v>
      </c>
      <c r="D45" s="4">
        <v>46048</v>
      </c>
      <c r="E45" s="16" t="str">
        <f>HYPERLINK("https://www8.mpce.mp.br/Empenhos/150001/Objeto/16-2025.pdf","EMPENHO REF. ALUGUEL DE IMÓVEL ONDE FUNCIONAM PROMOTORIAS DE JUSTIÇA DA COMARCA DE NOVA RUSSAS, CONF. CONTRATO 016/2025, REF. JAN/2026, POR ESTIMATIVA.")</f>
        <v>EMPENHO REF. ALUGUEL DE IMÓVEL ONDE FUNCIONAM PROMOTORIAS DE JUSTIÇA DA COMARCA DE NOVA RUSSAS, CONF. CONTRATO 016/2025, REF. JAN/2026, POR ESTIMATIVA.</v>
      </c>
      <c r="F45" s="2" t="s">
        <v>113</v>
      </c>
      <c r="G45" s="5" t="str">
        <f>HYPERLINK("https://siafe.sefaz.ce.gov.br/Siafe/downloadSignature?token=6a482521c58e49e7b6f9ed14e2ba5618","2026NE000043")</f>
        <v>2026NE000043</v>
      </c>
      <c r="H45" s="6">
        <v>3276.98</v>
      </c>
      <c r="I45" s="7" t="s">
        <v>172</v>
      </c>
      <c r="J45" s="10" t="s">
        <v>173</v>
      </c>
    </row>
    <row r="46" spans="1:10" ht="51" x14ac:dyDescent="0.25">
      <c r="A46" s="12" t="s">
        <v>111</v>
      </c>
      <c r="B46" s="2" t="s">
        <v>151</v>
      </c>
      <c r="C46" s="3" t="str">
        <f>HYPERLINK("https://transparencia-area-fim.mpce.mp.br/#/consulta/processo/pastadigital/092021000244271","09.2021.00024427-1")</f>
        <v>09.2021.00024427-1</v>
      </c>
      <c r="D46" s="4">
        <v>46048</v>
      </c>
      <c r="E46" s="16" t="str">
        <f>HYPERLINK("https://www8.mpce.mp.br/Empenhos/150001/Objeto/17-2022.pdf","EMPENHO REF. ALUGUEL DE IMÓVEL ONDE FUNCIONAM PROMOTORIAS DE JUSTIÇA DA COMARCA DE TIANGUÁ, CONF. CONTRATO 017/2022, REF. JAN/2026, POR ESTIMATIVA.")</f>
        <v>EMPENHO REF. ALUGUEL DE IMÓVEL ONDE FUNCIONAM PROMOTORIAS DE JUSTIÇA DA COMARCA DE TIANGUÁ, CONF. CONTRATO 017/2022, REF. JAN/2026, POR ESTIMATIVA.</v>
      </c>
      <c r="F46" s="2" t="s">
        <v>121</v>
      </c>
      <c r="G46" s="5" t="str">
        <f>HYPERLINK("https://siafe.sefaz.ce.gov.br/Siafe/downloadSignature?token=2e14bbfe98154453850a7168d2a6c314","2026NE000044")</f>
        <v>2026NE000044</v>
      </c>
      <c r="H46" s="6">
        <v>26000</v>
      </c>
      <c r="I46" s="7" t="s">
        <v>22</v>
      </c>
      <c r="J46" s="10" t="s">
        <v>174</v>
      </c>
    </row>
    <row r="47" spans="1:10" ht="51" x14ac:dyDescent="0.25">
      <c r="A47" s="12" t="s">
        <v>111</v>
      </c>
      <c r="B47" s="2" t="s">
        <v>151</v>
      </c>
      <c r="C47" s="3" t="str">
        <f>HYPERLINK("https://transparencia-area-fim.mpce.mp.br/#/consulta/processo/pastadigital/092023000338552","09.2023.00033855-2")</f>
        <v>09.2023.00033855-2</v>
      </c>
      <c r="D47" s="4">
        <v>46048</v>
      </c>
      <c r="E47" s="16" t="str">
        <f>HYPERLINK("https://www8.mpce.mp.br/Empenhos/150001/Objeto/17-2024.pdf","EMPENHO REF. ALUGUEL DE IMÓVEL ONDE FUNCIONAM PROMOTORIAS DE JUSTIÇA DA COMARCA DE MARANGUAPE, CONF. CONTRATO 017/2024, REF. JAN/2026, POR ESTIMATIVA.")</f>
        <v>EMPENHO REF. ALUGUEL DE IMÓVEL ONDE FUNCIONAM PROMOTORIAS DE JUSTIÇA DA COMARCA DE MARANGUAPE, CONF. CONTRATO 017/2024, REF. JAN/2026, POR ESTIMATIVA.</v>
      </c>
      <c r="F47" s="2" t="s">
        <v>121</v>
      </c>
      <c r="G47" s="5" t="str">
        <f>HYPERLINK("https://siafe.sefaz.ce.gov.br/Siafe/downloadSignature?token=15c017ff2c10469ea2884398982ef7d5","2026NE000045")</f>
        <v>2026NE000045</v>
      </c>
      <c r="H47" s="6">
        <v>18000</v>
      </c>
      <c r="I47" s="7" t="s">
        <v>175</v>
      </c>
      <c r="J47" s="10" t="s">
        <v>176</v>
      </c>
    </row>
    <row r="48" spans="1:10" ht="51" x14ac:dyDescent="0.25">
      <c r="A48" s="12" t="s">
        <v>111</v>
      </c>
      <c r="B48" s="2" t="s">
        <v>151</v>
      </c>
      <c r="C48" s="3" t="str">
        <f>HYPERLINK("https://transparencia-area-fim.mpce.mp.br/#/consulta/processo/pastadigital/092021000244282","09.2021.00024428-2")</f>
        <v>09.2021.00024428-2</v>
      </c>
      <c r="D48" s="4">
        <v>46045</v>
      </c>
      <c r="E48" s="16" t="str">
        <f>HYPERLINK("https://www8.mpce.mp.br/Empenhos/150001/Objeto/18-2022.pdf","EMPENHO REF. ALUGUEL DE IMÓVEL ONDE FUNCIONAM PROMOTORIAS DE JUSTIÇA DA COMARCA DE CRATEÚS, CONF. CONTRATO 018/2022, REF. JAN/2026, POR ESTIMATIVA.")</f>
        <v>EMPENHO REF. ALUGUEL DE IMÓVEL ONDE FUNCIONAM PROMOTORIAS DE JUSTIÇA DA COMARCA DE CRATEÚS, CONF. CONTRATO 018/2022, REF. JAN/2026, POR ESTIMATIVA.</v>
      </c>
      <c r="F48" s="2" t="s">
        <v>121</v>
      </c>
      <c r="G48" s="5" t="str">
        <f>HYPERLINK("https://siafe.sefaz.ce.gov.br/Siafe/downloadSignature?token=a0e99c2953ec49f9b53dce7f3c5ad128","2026NE000046")</f>
        <v>2026NE000046</v>
      </c>
      <c r="H48" s="6">
        <v>26770</v>
      </c>
      <c r="I48" s="7" t="s">
        <v>21</v>
      </c>
      <c r="J48" s="10" t="s">
        <v>132</v>
      </c>
    </row>
    <row r="49" spans="1:10" ht="51" x14ac:dyDescent="0.25">
      <c r="A49" s="12" t="s">
        <v>111</v>
      </c>
      <c r="B49" s="2" t="s">
        <v>151</v>
      </c>
      <c r="C49" s="3" t="str">
        <f>HYPERLINK("https://transparencia-area-fim.mpce.mp.br/#/consulta/processo/pastadigital/092022000343818","09.2022.00034381-8")</f>
        <v>09.2022.00034381-8</v>
      </c>
      <c r="D49" s="4">
        <v>46045</v>
      </c>
      <c r="E49" s="16" t="str">
        <f>HYPERLINK("https://www8.mpce.mp.br/Empenhos/150001/Objeto/24-2023.pdf","EMPENHO REF. ALUGUEL DE IMÓVEL ONDE FUNCIONAM PROMOTORIAS DE JUSTIÇA DA COMARCA DE ITAPIPOCA, CONF. CONTRATO 024/2023, REF. JAN/2026, POR ESTIMATIVA.")</f>
        <v>EMPENHO REF. ALUGUEL DE IMÓVEL ONDE FUNCIONAM PROMOTORIAS DE JUSTIÇA DA COMARCA DE ITAPIPOCA, CONF. CONTRATO 024/2023, REF. JAN/2026, POR ESTIMATIVA.</v>
      </c>
      <c r="F49" s="2" t="s">
        <v>121</v>
      </c>
      <c r="G49" s="5" t="str">
        <f>HYPERLINK("https://siafe.sefaz.ce.gov.br/Siafe/downloadSignature?token=0ed28f24b7cf41f085de648b36f5fd8f","2026NE000047")</f>
        <v>2026NE000047</v>
      </c>
      <c r="H49" s="6">
        <v>18857.89</v>
      </c>
      <c r="I49" s="7" t="s">
        <v>76</v>
      </c>
      <c r="J49" s="10" t="s">
        <v>177</v>
      </c>
    </row>
    <row r="50" spans="1:10" ht="45" x14ac:dyDescent="0.25">
      <c r="A50" s="12" t="s">
        <v>111</v>
      </c>
      <c r="B50" s="2" t="s">
        <v>151</v>
      </c>
      <c r="C50" s="3" t="str">
        <f>HYPERLINK("https://transparencia-area-fim.mpce.mp.br/#/consulta/processo/pastadigital/092022000343795","09.2022.00034379-5")</f>
        <v>09.2022.00034379-5</v>
      </c>
      <c r="D50" s="4">
        <v>46045</v>
      </c>
      <c r="E50" s="17" t="str">
        <f>HYPERLINK("https://www8.mpce.mp.br/Empenhos/150001/Objeto/25-2023.pdf","EMPENHO REF. ALUGUEL DE IMÓVEL ONDE FUNCIONAM PROMOTORIAS DE JUSTIÇA DA COMARCA DE CANINDÉ, CONF. CONTRATO 025/2023, REF. JAN/2026, POR ESTIMATIVA.")</f>
        <v>EMPENHO REF. ALUGUEL DE IMÓVEL ONDE FUNCIONAM PROMOTORIAS DE JUSTIÇA DA COMARCA DE CANINDÉ, CONF. CONTRATO 025/2023, REF. JAN/2026, POR ESTIMATIVA.</v>
      </c>
      <c r="F50" s="2" t="s">
        <v>121</v>
      </c>
      <c r="G50" s="5" t="str">
        <f>HYPERLINK("https://siafe.sefaz.ce.gov.br/Siafe/downloadSignature?token=6996d7d72b584c839934025d57dea0da","2026NE000048")</f>
        <v>2026NE000048</v>
      </c>
      <c r="H50" s="6">
        <v>14668</v>
      </c>
      <c r="I50" s="7" t="s">
        <v>93</v>
      </c>
      <c r="J50" s="10" t="s">
        <v>178</v>
      </c>
    </row>
    <row r="51" spans="1:10" ht="51" x14ac:dyDescent="0.25">
      <c r="A51" s="12" t="s">
        <v>111</v>
      </c>
      <c r="B51" s="2" t="s">
        <v>158</v>
      </c>
      <c r="C51" s="3" t="str">
        <f>HYPERLINK("https://transparencia-area-fim.mpce.mp.br/#/consulta/processo/pastadigital/092021000155016","09.2021.00015501-6")</f>
        <v>09.2021.00015501-6</v>
      </c>
      <c r="D51" s="4">
        <v>46048</v>
      </c>
      <c r="E51" s="16" t="str">
        <f>HYPERLINK("https://www8.mpce.mp.br/Empenhos/150001/Objeto/26-2021.pdf","EMPENHO REF. ALUGUEL DE IMÓVEL ONDE FUNCIONAM PROMOTORIAS DE JUSTIÇA DA COMARCA DE BREJO SANTO, CONF. CONTRATO 026/2021, REF. JAN/2026, POR ESTIMATIVA.")</f>
        <v>EMPENHO REF. ALUGUEL DE IMÓVEL ONDE FUNCIONAM PROMOTORIAS DE JUSTIÇA DA COMARCA DE BREJO SANTO, CONF. CONTRATO 026/2021, REF. JAN/2026, POR ESTIMATIVA.</v>
      </c>
      <c r="F51" s="2" t="s">
        <v>113</v>
      </c>
      <c r="G51" s="5" t="str">
        <f>HYPERLINK("https://siafe.sefaz.ce.gov.br/Siafe/downloadSignature?token=9a215b7d1040479bb31f4661eccf61f1","2026NE000049")</f>
        <v>2026NE000049</v>
      </c>
      <c r="H51" s="6">
        <v>2601.5500000000002</v>
      </c>
      <c r="I51" s="7" t="s">
        <v>38</v>
      </c>
      <c r="J51" s="10" t="s">
        <v>179</v>
      </c>
    </row>
    <row r="52" spans="1:10" ht="51" x14ac:dyDescent="0.25">
      <c r="A52" s="12" t="s">
        <v>111</v>
      </c>
      <c r="B52" s="2" t="s">
        <v>115</v>
      </c>
      <c r="C52" s="3" t="str">
        <f>HYPERLINK("https://transparencia-area-fim.mpce.mp.br/#/consulta/processo/pastadigital/092021000079244","09.2021.00007924-4")</f>
        <v>09.2021.00007924-4</v>
      </c>
      <c r="D52" s="4">
        <v>46048</v>
      </c>
      <c r="E52" s="16" t="str">
        <f>HYPERLINK("https://www8.mpce.mp.br/Empenhos/150001/Objeto/27-2021.pdf","EMPENHO REF. TAXAS CONDOMINIAIS DE IMÓVEL ONDE FUNCIONAM PROMOTORIAS DE JUSTIÇA DA COMARCA DE EUSÉBIO, CONF. CONTRATO 027/2021, REF. JAN, /2026, POR ESTIMATIVA.")</f>
        <v>EMPENHO REF. TAXAS CONDOMINIAIS DE IMÓVEL ONDE FUNCIONAM PROMOTORIAS DE JUSTIÇA DA COMARCA DE EUSÉBIO, CONF. CONTRATO 027/2021, REF. JAN, /2026, POR ESTIMATIVA.</v>
      </c>
      <c r="F52" s="2" t="s">
        <v>121</v>
      </c>
      <c r="G52" s="5" t="str">
        <f>HYPERLINK("https://siafe.sefaz.ce.gov.br/Siafe/downloadSignature?token=870bf1bca959463b90ab29d703430a2b","2026NE000050")</f>
        <v>2026NE000050</v>
      </c>
      <c r="H52" s="6">
        <v>1688.58</v>
      </c>
      <c r="I52" s="7" t="s">
        <v>42</v>
      </c>
      <c r="J52" s="10" t="s">
        <v>120</v>
      </c>
    </row>
    <row r="53" spans="1:10" ht="51" x14ac:dyDescent="0.25">
      <c r="A53" s="12" t="s">
        <v>111</v>
      </c>
      <c r="B53" s="2" t="s">
        <v>115</v>
      </c>
      <c r="C53" s="3" t="str">
        <f>HYPERLINK("https://transparencia-area-fim.mpce.mp.br/#/consulta/processo/pastadigital/092021000079244","09.2021.00007924-4")</f>
        <v>09.2021.00007924-4</v>
      </c>
      <c r="D53" s="4">
        <v>46048</v>
      </c>
      <c r="E53" s="16" t="str">
        <f>HYPERLINK("https://www8.mpce.mp.br/Empenhos/150001/Objeto/27-2021.pdf","EMPENHO REF. TAXAS CONDOMINIAIS DE IMÓVEL ONDE FUNCIONAM PROMOTORIAS DE JUSTIÇA DA COMARCA DE EUSÉBIO, CONF. CONTRATO 027/2021, REF. JAN/2026, POR ESTIMATIVA.")</f>
        <v>EMPENHO REF. TAXAS CONDOMINIAIS DE IMÓVEL ONDE FUNCIONAM PROMOTORIAS DE JUSTIÇA DA COMARCA DE EUSÉBIO, CONF. CONTRATO 027/2021, REF. JAN/2026, POR ESTIMATIVA.</v>
      </c>
      <c r="F53" s="2" t="s">
        <v>121</v>
      </c>
      <c r="G53" s="5" t="str">
        <f>HYPERLINK("https://siafe.sefaz.ce.gov.br/Siafe/downloadSignature?token=451f64eddda44c229749d6ec252d561e","2026NE000051")</f>
        <v>2026NE000051</v>
      </c>
      <c r="H53" s="6">
        <v>5681.4</v>
      </c>
      <c r="I53" s="7" t="s">
        <v>42</v>
      </c>
      <c r="J53" s="10" t="s">
        <v>120</v>
      </c>
    </row>
    <row r="54" spans="1:10" ht="51" x14ac:dyDescent="0.25">
      <c r="A54" s="12" t="s">
        <v>111</v>
      </c>
      <c r="B54" s="2" t="s">
        <v>158</v>
      </c>
      <c r="C54" s="3" t="str">
        <f>HYPERLINK("https://transparencia-area-fim.mpce.mp.br/#/consulta/processo/pastadigital/092022000264193","09.2022.00026419-3")</f>
        <v>09.2022.00026419-3</v>
      </c>
      <c r="D54" s="4">
        <v>46048</v>
      </c>
      <c r="E54" s="16" t="str">
        <f>HYPERLINK("https://www8.mpce.mp.br/Empenhos/150001/Objeto/28-2022.pdf","EMPENHO REF. ALUGUEL DE IMÓVEL ONDE FUNCIONAM PROMOTORIAS DE JUSTIÇA DA COMARCA DE AURORA, CONF. CONTRATO 028/2022, REF. JAN, /2026, POR ESTIMATIVA.")</f>
        <v>EMPENHO REF. ALUGUEL DE IMÓVEL ONDE FUNCIONAM PROMOTORIAS DE JUSTIÇA DA COMARCA DE AURORA, CONF. CONTRATO 028/2022, REF. JAN, /2026, POR ESTIMATIVA.</v>
      </c>
      <c r="F54" s="2" t="s">
        <v>113</v>
      </c>
      <c r="G54" s="5" t="str">
        <f>HYPERLINK("https://siafe.sefaz.ce.gov.br/Siafe/downloadSignature?token=6b43c0e676eb49f894218a685624fcb7","2026NE000052")</f>
        <v>2026NE000052</v>
      </c>
      <c r="H54" s="6">
        <v>2083.1999999999998</v>
      </c>
      <c r="I54" s="7" t="s">
        <v>180</v>
      </c>
      <c r="J54" s="10" t="s">
        <v>181</v>
      </c>
    </row>
    <row r="55" spans="1:10" ht="63.75" x14ac:dyDescent="0.25">
      <c r="A55" s="12" t="s">
        <v>111</v>
      </c>
      <c r="B55" s="2" t="s">
        <v>182</v>
      </c>
      <c r="C55" s="3" t="str">
        <f>HYPERLINK("https://transparencia-area-fim.mpce.mp.br/#/consulta/processo/pastadigital/092023000388810","09.2023.00038881-0")</f>
        <v>09.2023.00038881-0</v>
      </c>
      <c r="D55" s="4">
        <v>46051</v>
      </c>
      <c r="E55" s="16" t="str">
        <f>HYPERLINK("https://www8.mpce.mp.br/Empenhos/150001/Objeto/22-2024.pdf","EMPENHO REF. SERVIÇOS DE SOLUÇÃO EM NUVEM DE PROTEÇÃO, GESTÃO, AVALIAÇÃO DE POSTURA E CONECTIVIDADE PARA NUVEM, INCLUINDO IMPLANTAÇÃO, MONITORAMENTO E SUPORTE TÉCNICO, CONF. CON"&amp;"TRATO 022/2024, REF. JAN/2026, POR ESTIMATIVA.")</f>
        <v>EMPENHO REF. SERVIÇOS DE SOLUÇÃO EM NUVEM DE PROTEÇÃO, GESTÃO, AVALIAÇÃO DE POSTURA E CONECTIVIDADE PARA NUVEM, INCLUINDO IMPLANTAÇÃO, MONITORAMENTO E SUPORTE TÉCNICO, CONF. CONTRATO 022/2024, REF. JAN/2026, POR ESTIMATIVA.</v>
      </c>
      <c r="F55" s="2" t="s">
        <v>183</v>
      </c>
      <c r="G55" s="5" t="str">
        <f>HYPERLINK("https://siafe.sefaz.ce.gov.br/Siafe/downloadSignature?token=968717e30f884dd3a63927360f687a02","2026NE000056")</f>
        <v>2026NE000056</v>
      </c>
      <c r="H55" s="6">
        <v>35718.5</v>
      </c>
      <c r="I55" s="7" t="s">
        <v>50</v>
      </c>
      <c r="J55" s="10" t="s">
        <v>184</v>
      </c>
    </row>
    <row r="56" spans="1:10" ht="38.25" x14ac:dyDescent="0.25">
      <c r="A56" s="12" t="s">
        <v>111</v>
      </c>
      <c r="B56" s="2" t="s">
        <v>182</v>
      </c>
      <c r="C56" s="3" t="str">
        <f>HYPERLINK("https://transparencia-area-fim.mpce.mp.br/#/consulta/processo/pastadigital/092023000117363","09.2023.00011736-3")</f>
        <v>09.2023.00011736-3</v>
      </c>
      <c r="D56" s="4">
        <v>46051</v>
      </c>
      <c r="E56" s="16" t="str">
        <f>HYPERLINK("https://www8.mpce.mp.br/Empenhos/150001/Objeto/32-2023.pdf","EMPENHO REF. DISPONIBILIZAÇÃO DE SOLUÇÃO TECNOLÓGICA, NA MODALIDADE SOFTWARE (SAAS), CONF. CONTRATO 032/2023, REF. JAN/2026, POR ESTIMATIVA.")</f>
        <v>EMPENHO REF. DISPONIBILIZAÇÃO DE SOLUÇÃO TECNOLÓGICA, NA MODALIDADE SOFTWARE (SAAS), CONF. CONTRATO 032/2023, REF. JAN/2026, POR ESTIMATIVA.</v>
      </c>
      <c r="F56" s="2" t="s">
        <v>185</v>
      </c>
      <c r="G56" s="5" t="str">
        <f>HYPERLINK("https://siafe.sefaz.ce.gov.br/Siafe/downloadSignature?token=1dd20ec727174de0ab353cbadbac2b47","2026NE000057")</f>
        <v>2026NE000057</v>
      </c>
      <c r="H56" s="6">
        <v>6216.42</v>
      </c>
      <c r="I56" s="7" t="s">
        <v>50</v>
      </c>
      <c r="J56" s="10" t="s">
        <v>184</v>
      </c>
    </row>
    <row r="57" spans="1:10" ht="25.5" x14ac:dyDescent="0.25">
      <c r="A57" s="12" t="s">
        <v>122</v>
      </c>
      <c r="B57" s="2" t="s">
        <v>186</v>
      </c>
      <c r="C57" s="3" t="str">
        <f>HYPERLINK("https://transparencia-area-fim.mpce.mp.br/#/consulta/processo/pastadigital/092026000010774","09.2026.00001077-4")</f>
        <v>09.2026.00001077-4</v>
      </c>
      <c r="D57" s="4">
        <v>46048</v>
      </c>
      <c r="E57" s="16" t="s">
        <v>187</v>
      </c>
      <c r="F57" s="2" t="s">
        <v>188</v>
      </c>
      <c r="G57" s="5" t="str">
        <f>HYPERLINK("https://siafe.sefaz.ce.gov.br/Siafe/downloadSignature?token=f151a80842a94f1f88dc5638a415515f","2026NE000067")</f>
        <v>2026NE000067</v>
      </c>
      <c r="H57" s="6">
        <v>74.52</v>
      </c>
      <c r="I57" s="7" t="s">
        <v>78</v>
      </c>
      <c r="J57" s="10" t="s">
        <v>189</v>
      </c>
    </row>
    <row r="58" spans="1:10" ht="25.5" x14ac:dyDescent="0.25">
      <c r="A58" s="12" t="s">
        <v>122</v>
      </c>
      <c r="B58" s="2" t="s">
        <v>186</v>
      </c>
      <c r="C58" s="3" t="str">
        <f>HYPERLINK("https://transparencia-area-fim.mpce.mp.br/#/consulta/processo/pastadigital/092026000010785","09.2026.00001078-5")</f>
        <v>09.2026.00001078-5</v>
      </c>
      <c r="D58" s="4">
        <v>46048</v>
      </c>
      <c r="E58" s="16" t="s">
        <v>187</v>
      </c>
      <c r="F58" s="2" t="s">
        <v>188</v>
      </c>
      <c r="G58" s="5" t="str">
        <f>HYPERLINK("https://siafe.sefaz.ce.gov.br/Siafe/downloadSignature?token=d922a7923efc4608998ddd263aac9913","2026NE000068")</f>
        <v>2026NE000068</v>
      </c>
      <c r="H58" s="6">
        <v>386.76</v>
      </c>
      <c r="I58" s="7" t="s">
        <v>79</v>
      </c>
      <c r="J58" s="10" t="s">
        <v>190</v>
      </c>
    </row>
    <row r="59" spans="1:10" ht="38.25" x14ac:dyDescent="0.25">
      <c r="A59" s="12" t="s">
        <v>111</v>
      </c>
      <c r="B59" s="2" t="s">
        <v>191</v>
      </c>
      <c r="C59" s="3" t="str">
        <f>HYPERLINK("https://transparencia-area-fim.mpce.mp.br/#/consulta/processo/pastadigital/092022000110511","09.2022.00011051-1")</f>
        <v>09.2022.00011051-1</v>
      </c>
      <c r="D59" s="4">
        <v>46050</v>
      </c>
      <c r="E59" s="16" t="str">
        <f>HYPERLINK("https://www8.mpce.mp.br/Empenhos/150001/Objeto/38-2022.pdf","EMPENHO REF. LOCAÇÃO DE IMÓVEL (PROMOTORIAS DE JUSTIÇA DA COMARCA DE NOVA OLINDA), CONF. CONTRATO Nº 038/2022, REF. JAN/2026, POR ESTIMATIVA.")</f>
        <v>EMPENHO REF. LOCAÇÃO DE IMÓVEL (PROMOTORIAS DE JUSTIÇA DA COMARCA DE NOVA OLINDA), CONF. CONTRATO Nº 038/2022, REF. JAN/2026, POR ESTIMATIVA.</v>
      </c>
      <c r="F59" s="2" t="s">
        <v>113</v>
      </c>
      <c r="G59" s="5" t="str">
        <f>HYPERLINK("http://www8.mpce.mp.br/Empenhos/150501/NE/2026NE000068.pdf","2026NE000068")</f>
        <v>2026NE000068</v>
      </c>
      <c r="H59" s="6">
        <v>2000</v>
      </c>
      <c r="I59" s="7" t="s">
        <v>46</v>
      </c>
      <c r="J59" s="10" t="s">
        <v>192</v>
      </c>
    </row>
    <row r="60" spans="1:10" ht="25.5" x14ac:dyDescent="0.25">
      <c r="A60" s="12" t="s">
        <v>122</v>
      </c>
      <c r="B60" s="2" t="s">
        <v>186</v>
      </c>
      <c r="C60" s="3" t="str">
        <f>HYPERLINK("https://transparencia-area-fim.mpce.mp.br/#/consulta/processo/pastadigital/092026000010796","09.2026.00001079-6")</f>
        <v>09.2026.00001079-6</v>
      </c>
      <c r="D60" s="4">
        <v>46048</v>
      </c>
      <c r="E60" s="16" t="s">
        <v>187</v>
      </c>
      <c r="F60" s="2" t="s">
        <v>188</v>
      </c>
      <c r="G60" s="5" t="str">
        <f>HYPERLINK("https://siafe.sefaz.ce.gov.br/Siafe/downloadSignature?token=6a6a1c77fde943fcaf8e494ebb2bf5ce","2026NE000069")</f>
        <v>2026NE000069</v>
      </c>
      <c r="H60" s="6">
        <v>278.85000000000002</v>
      </c>
      <c r="I60" s="7" t="s">
        <v>59</v>
      </c>
      <c r="J60" s="10" t="s">
        <v>193</v>
      </c>
    </row>
    <row r="61" spans="1:10" ht="38.25" x14ac:dyDescent="0.25">
      <c r="A61" s="12" t="s">
        <v>111</v>
      </c>
      <c r="B61" s="2" t="s">
        <v>191</v>
      </c>
      <c r="C61" s="3" t="str">
        <f>HYPERLINK("http://www8.mpce.mp.br/Dispensa/2004820193.pdf","20048/2019-3")</f>
        <v>20048/2019-3</v>
      </c>
      <c r="D61" s="4">
        <v>46051</v>
      </c>
      <c r="E61" s="16" t="str">
        <f>HYPERLINK("https://www8.mpce.mp.br/Empenhos/150001/Objeto/84-2019.pdf","EMPENHO REF. LOCAÇÃO DE IMÓVEL PROMOTORIAS DE JUSTIÇA DA COMARCA DE MOMBAÇA, CONF. CONTRATO Nº 084/2019, REF. JAN/2026, POR ESTIMATIVA.")</f>
        <v>EMPENHO REF. LOCAÇÃO DE IMÓVEL PROMOTORIAS DE JUSTIÇA DA COMARCA DE MOMBAÇA, CONF. CONTRATO Nº 084/2019, REF. JAN/2026, POR ESTIMATIVA.</v>
      </c>
      <c r="F61" s="2" t="s">
        <v>113</v>
      </c>
      <c r="G61" s="5" t="str">
        <f>HYPERLINK("http://www8.mpce.mp.br/Empenhos/150501/NE/2026NE000069.pdf","2026NE000069")</f>
        <v>2026NE000069</v>
      </c>
      <c r="H61" s="6">
        <v>4253.26</v>
      </c>
      <c r="I61" s="7" t="s">
        <v>41</v>
      </c>
      <c r="J61" s="10" t="s">
        <v>194</v>
      </c>
    </row>
    <row r="62" spans="1:10" ht="25.5" x14ac:dyDescent="0.25">
      <c r="A62" s="12" t="s">
        <v>122</v>
      </c>
      <c r="B62" s="2" t="s">
        <v>186</v>
      </c>
      <c r="C62" s="3" t="str">
        <f>HYPERLINK("https://transparencia-area-fim.mpce.mp.br/#/consulta/processo/pastadigital/092026000010820","09.2026.00001082-0")</f>
        <v>09.2026.00001082-0</v>
      </c>
      <c r="D62" s="4">
        <v>46048</v>
      </c>
      <c r="E62" s="16" t="s">
        <v>187</v>
      </c>
      <c r="F62" s="2" t="s">
        <v>188</v>
      </c>
      <c r="G62" s="5" t="str">
        <f>HYPERLINK("https://siafe.sefaz.ce.gov.br/Siafe/downloadSignature?token=9abcdcc66133465cb9fa9beb407af11a","2026NE000071")</f>
        <v>2026NE000071</v>
      </c>
      <c r="H62" s="6">
        <v>81.03</v>
      </c>
      <c r="I62" s="7" t="s">
        <v>195</v>
      </c>
      <c r="J62" s="10" t="s">
        <v>196</v>
      </c>
    </row>
    <row r="63" spans="1:10" ht="38.25" x14ac:dyDescent="0.25">
      <c r="A63" s="12" t="s">
        <v>111</v>
      </c>
      <c r="B63" s="2" t="s">
        <v>158</v>
      </c>
      <c r="C63" s="3" t="str">
        <f>HYPERLINK("https://transparencia-area-fim.mpce.mp.br/#/consulta/processo/pastadigital/092021000157125","09.2021.00015712-5")</f>
        <v>09.2021.00015712-5</v>
      </c>
      <c r="D63" s="4">
        <v>46051</v>
      </c>
      <c r="E63" s="16" t="str">
        <f>HYPERLINK("https://www8.mpce.mp.br/Empenhos/150001/Objeto/32-2021.pdf","EMPENHO REF. SEGURO DE VIDA DOS ESTAGIÁRIOS, CONF. CONTRATO 32/2021, REF. JAN, FEV E MAR/2025, POR ESTIMATIVA.")</f>
        <v>EMPENHO REF. SEGURO DE VIDA DOS ESTAGIÁRIOS, CONF. CONTRATO 32/2021, REF. JAN, FEV E MAR/2025, POR ESTIMATIVA.</v>
      </c>
      <c r="F63" s="2" t="s">
        <v>197</v>
      </c>
      <c r="G63" s="5" t="str">
        <f>HYPERLINK("https://siafe.sefaz.ce.gov.br/Siafe/downloadSignature?token=12cd05a2fe1647af8e3f283da8219dd9","2026NE000072")</f>
        <v>2026NE000072</v>
      </c>
      <c r="H63" s="6">
        <v>570</v>
      </c>
      <c r="I63" s="7" t="s">
        <v>56</v>
      </c>
      <c r="J63" s="10" t="s">
        <v>198</v>
      </c>
    </row>
    <row r="64" spans="1:10" ht="38.25" x14ac:dyDescent="0.25">
      <c r="A64" s="12" t="s">
        <v>111</v>
      </c>
      <c r="B64" s="2" t="s">
        <v>182</v>
      </c>
      <c r="C64" s="3" t="str">
        <f>HYPERLINK("https://transparencia-area-fim.mpce.mp.br/#/consulta/processo/pastadigital/092024000176845","09.2024.00017684-5")</f>
        <v>09.2024.00017684-5</v>
      </c>
      <c r="D64" s="4">
        <v>46051</v>
      </c>
      <c r="E64" s="16" t="str">
        <f>HYPERLINK("https://www8.mpce.mp.br/Empenhos/150001/Objeto/58-2024.pdf","EMPENHO REF. SERVIÇOS ESPECIALIZADOS EM SEGURANÇA (ANTIVÍRUS), CONF. CONTRATO 058/2024, REF. JAN/2026, POR ESTIMATIVA.")</f>
        <v>EMPENHO REF. SERVIÇOS ESPECIALIZADOS EM SEGURANÇA (ANTIVÍRUS), CONF. CONTRATO 058/2024, REF. JAN/2026, POR ESTIMATIVA.</v>
      </c>
      <c r="F64" s="2" t="s">
        <v>183</v>
      </c>
      <c r="G64" s="5" t="str">
        <f>HYPERLINK("https://siafe.sefaz.ce.gov.br/Siafe/downloadSignature?token=8f1eacd331034bc3a10e5ae363748462","2026NE000073")</f>
        <v>2026NE000073</v>
      </c>
      <c r="H64" s="6">
        <v>129258.54</v>
      </c>
      <c r="I64" s="7" t="s">
        <v>50</v>
      </c>
      <c r="J64" s="10" t="s">
        <v>184</v>
      </c>
    </row>
    <row r="65" spans="1:10" ht="51" x14ac:dyDescent="0.25">
      <c r="A65" s="12" t="s">
        <v>122</v>
      </c>
      <c r="B65" s="2" t="s">
        <v>199</v>
      </c>
      <c r="C65" s="3" t="str">
        <f>HYPERLINK("https://transparencia-area-fim.mpce.mp.br/#/consulta/processo/pastadigital/092023000287946","09.2023.00028794-6")</f>
        <v>09.2023.00028794-6</v>
      </c>
      <c r="D65" s="4">
        <v>46051</v>
      </c>
      <c r="E65" s="16" t="str">
        <f>HYPERLINK("https://www8.mpce.mp.br/Empenhos/150001/Objeto/59-2023.pdf","EMPENHO REF. LICENÇAS DE SOFTWARE, INCLUINDO IMPLANTAÇÃO, TREINAMENTO, ATUALIZAÇÃO E SUPORTE TÉCNICO, CONF. CONTRATO 059/2023, REF. JAN/2026, POR ESTIMATIVA.")</f>
        <v>EMPENHO REF. LICENÇAS DE SOFTWARE, INCLUINDO IMPLANTAÇÃO, TREINAMENTO, ATUALIZAÇÃO E SUPORTE TÉCNICO, CONF. CONTRATO 059/2023, REF. JAN/2026, POR ESTIMATIVA.</v>
      </c>
      <c r="F65" s="2" t="s">
        <v>200</v>
      </c>
      <c r="G65" s="5" t="str">
        <f>HYPERLINK("https://siafe.sefaz.ce.gov.br/Siafe/downloadSignature?token=d1d8aa30ef474853a70ce07f63f0a503","2026NE000074")</f>
        <v>2026NE000074</v>
      </c>
      <c r="H65" s="6">
        <v>13531.5</v>
      </c>
      <c r="I65" s="7" t="s">
        <v>52</v>
      </c>
      <c r="J65" s="10" t="s">
        <v>201</v>
      </c>
    </row>
    <row r="66" spans="1:10" ht="25.5" x14ac:dyDescent="0.25">
      <c r="A66" s="12" t="s">
        <v>122</v>
      </c>
      <c r="B66" s="2" t="s">
        <v>186</v>
      </c>
      <c r="C66" s="3" t="str">
        <f>HYPERLINK("https://transparencia-area-fim.mpce.mp.br/#/consulta/processo/pastadigital/092026000010830","09.2026.00001083-0")</f>
        <v>09.2026.00001083-0</v>
      </c>
      <c r="D66" s="4">
        <v>46048</v>
      </c>
      <c r="E66" s="16" t="s">
        <v>187</v>
      </c>
      <c r="F66" s="2" t="s">
        <v>188</v>
      </c>
      <c r="G66" s="5" t="str">
        <f>HYPERLINK("https://siafe.sefaz.ce.gov.br/Siafe/downloadSignature?token=561ed19d56264414a2f9a9a5f326ccc3","2026NE000075")</f>
        <v>2026NE000075</v>
      </c>
      <c r="H66" s="6">
        <v>600</v>
      </c>
      <c r="I66" s="7" t="s">
        <v>61</v>
      </c>
      <c r="J66" s="10" t="s">
        <v>202</v>
      </c>
    </row>
    <row r="67" spans="1:10" ht="38.25" x14ac:dyDescent="0.25">
      <c r="A67" s="12" t="s">
        <v>122</v>
      </c>
      <c r="B67" s="2" t="s">
        <v>203</v>
      </c>
      <c r="C67" s="3" t="str">
        <f>HYPERLINK("https://transparencia-area-fim.mpce.mp.br/#/consulta/processo/pastadigital/092021000189150","09.2021.00018915-0")</f>
        <v>09.2021.00018915-0</v>
      </c>
      <c r="D67" s="4">
        <v>46051</v>
      </c>
      <c r="E67" s="16" t="str">
        <f>HYPERLINK("https://www8.mpce.mp.br/Empenhos/150001/Objeto/09-2022.pdf","EMPENHO REF. SERVIÇOS DE EXTENSÃO DE GARANTIA PARA O DATA CENTER, CONF. CONTRATO 009/2022, REF. JAN/2026, POR ESTIMATIVA.")</f>
        <v>EMPENHO REF. SERVIÇOS DE EXTENSÃO DE GARANTIA PARA O DATA CENTER, CONF. CONTRATO 009/2022, REF. JAN/2026, POR ESTIMATIVA.</v>
      </c>
      <c r="F67" s="2" t="s">
        <v>204</v>
      </c>
      <c r="G67" s="5" t="str">
        <f>HYPERLINK("https://siafe.sefaz.ce.gov.br/Siafe/downloadSignature?token=755cac1ea4dc48ff897f6e9652b3ee7e","2026NE000075")</f>
        <v>2026NE000075</v>
      </c>
      <c r="H67" s="6">
        <v>19992.2</v>
      </c>
      <c r="I67" s="7" t="s">
        <v>63</v>
      </c>
      <c r="J67" s="10" t="s">
        <v>205</v>
      </c>
    </row>
    <row r="68" spans="1:10" ht="33.75" x14ac:dyDescent="0.25">
      <c r="A68" s="12" t="s">
        <v>122</v>
      </c>
      <c r="B68" s="2" t="s">
        <v>206</v>
      </c>
      <c r="C68" s="3" t="str">
        <f>HYPERLINK("https://transparencia-area-fim.mpce.mp.br/#/consulta/processo/pastadigital/092023000255300","09.2023.00025530-0")</f>
        <v>09.2023.00025530-0</v>
      </c>
      <c r="D68" s="4">
        <v>46052</v>
      </c>
      <c r="E68" s="16" t="str">
        <f>HYPERLINK("https://www8.mpce.mp.br/Empenhos/150001/Objeto/42-2024.pdf","EMPENHO REF. SERVIÇO DO SISTEMA SAJ-MP, CONF. CONTRATO 042/2024, REF. JAN/2026, POR ESTIMATIVA.")</f>
        <v>EMPENHO REF. SERVIÇO DO SISTEMA SAJ-MP, CONF. CONTRATO 042/2024, REF. JAN/2026, POR ESTIMATIVA.</v>
      </c>
      <c r="F68" s="2" t="s">
        <v>200</v>
      </c>
      <c r="G68" s="5" t="str">
        <f>HYPERLINK("https://siafe.sefaz.ce.gov.br/Siafe/downloadSignature?token=b001452e56c64993b4f0728f99c45541","2026NE000076")</f>
        <v>2026NE000076</v>
      </c>
      <c r="H68" s="6">
        <v>72857</v>
      </c>
      <c r="I68" s="7" t="s">
        <v>70</v>
      </c>
      <c r="J68" s="10" t="s">
        <v>207</v>
      </c>
    </row>
    <row r="69" spans="1:10" ht="25.5" x14ac:dyDescent="0.25">
      <c r="A69" s="12" t="s">
        <v>122</v>
      </c>
      <c r="B69" s="2" t="s">
        <v>186</v>
      </c>
      <c r="C69" s="3" t="str">
        <f>HYPERLINK("https://transparencia-area-fim.mpce.mp.br/#/consulta/processo/pastadigital/092026000010852","09.2026.00001085-2")</f>
        <v>09.2026.00001085-2</v>
      </c>
      <c r="D69" s="4">
        <v>46048</v>
      </c>
      <c r="E69" s="16" t="s">
        <v>187</v>
      </c>
      <c r="F69" s="2" t="s">
        <v>188</v>
      </c>
      <c r="G69" s="5" t="str">
        <f>HYPERLINK("https://siafe.sefaz.ce.gov.br/Siafe/downloadSignature?token=fa2b9af164ef412c894f0ee080a012a8","2026NE000077")</f>
        <v>2026NE000077</v>
      </c>
      <c r="H69" s="6">
        <v>194.7</v>
      </c>
      <c r="I69" s="7" t="s">
        <v>62</v>
      </c>
      <c r="J69" s="10" t="s">
        <v>208</v>
      </c>
    </row>
    <row r="70" spans="1:10" ht="38.25" x14ac:dyDescent="0.25">
      <c r="A70" s="12" t="s">
        <v>122</v>
      </c>
      <c r="B70" s="2" t="s">
        <v>206</v>
      </c>
      <c r="C70" s="3" t="str">
        <f>HYPERLINK("https://transparencia-area-fim.mpce.mp.br/#/consulta/processo/pastadigital/092023000255300","09.2023.00025530-0")</f>
        <v>09.2023.00025530-0</v>
      </c>
      <c r="D70" s="4">
        <v>46052</v>
      </c>
      <c r="E70" s="16" t="str">
        <f>HYPERLINK("https://www8.mpce.mp.br/Empenhos/150001/Objeto/42-2024.pdf","EMPENHO REF. SERVIÇO DO SISTEMA SAJ-MP SUPORTE ESTENDIDO, CONF. CONTRATO 042/2024, REF. JAN/2026, POR ESTIMATIVA.")</f>
        <v>EMPENHO REF. SERVIÇO DO SISTEMA SAJ-MP SUPORTE ESTENDIDO, CONF. CONTRATO 042/2024, REF. JAN/2026, POR ESTIMATIVA.</v>
      </c>
      <c r="F70" s="2" t="s">
        <v>200</v>
      </c>
      <c r="G70" s="5" t="str">
        <f>HYPERLINK("https://siafe.sefaz.ce.gov.br/Siafe/downloadSignature?token=0aeb309707864c29b9314f4265e60291","2026NE000077")</f>
        <v>2026NE000077</v>
      </c>
      <c r="H70" s="6">
        <v>13896.9</v>
      </c>
      <c r="I70" s="7" t="s">
        <v>70</v>
      </c>
      <c r="J70" s="10" t="s">
        <v>207</v>
      </c>
    </row>
    <row r="71" spans="1:10" ht="38.25" x14ac:dyDescent="0.25">
      <c r="A71" s="12" t="s">
        <v>122</v>
      </c>
      <c r="B71" s="2" t="s">
        <v>206</v>
      </c>
      <c r="C71" s="3" t="str">
        <f>HYPERLINK("https://transparencia-area-fim.mpce.mp.br/#/consulta/processo/pastadigital/092023000255300","09.2023.00025530-0")</f>
        <v>09.2023.00025530-0</v>
      </c>
      <c r="D71" s="4">
        <v>46052</v>
      </c>
      <c r="E71" s="16" t="str">
        <f>HYPERLINK("https://www8.mpce.mp.br/Empenhos/150001/Objeto/42-2024.pdf","EMPENHO REF. SERVIÇO DO SISTEMA SAJ-MP SUPORTE 1° NÌVEL, CONF. CONTRATO 042/2024, REF. JAN/2026, POR ESTIMATIVA.")</f>
        <v>EMPENHO REF. SERVIÇO DO SISTEMA SAJ-MP SUPORTE 1° NÌVEL, CONF. CONTRATO 042/2024, REF. JAN/2026, POR ESTIMATIVA.</v>
      </c>
      <c r="F71" s="2" t="s">
        <v>200</v>
      </c>
      <c r="G71" s="5" t="str">
        <f>HYPERLINK("https://siafe.sefaz.ce.gov.br/Siafe/downloadSignature?token=4dfdadaeef6c4f4587ecc2d6f45c3095","2026NE000078")</f>
        <v>2026NE000078</v>
      </c>
      <c r="H71" s="6">
        <v>160869.12</v>
      </c>
      <c r="I71" s="7" t="s">
        <v>70</v>
      </c>
      <c r="J71" s="10" t="s">
        <v>207</v>
      </c>
    </row>
    <row r="72" spans="1:10" ht="38.25" x14ac:dyDescent="0.25">
      <c r="A72" s="12" t="s">
        <v>122</v>
      </c>
      <c r="B72" s="2" t="s">
        <v>186</v>
      </c>
      <c r="C72" s="3" t="str">
        <f>HYPERLINK("https://transparencia-area-fim.mpce.mp.br/#/consulta/processo/pastadigital/092026000010863","09.2026.00001086-3")</f>
        <v>09.2026.00001086-3</v>
      </c>
      <c r="D72" s="4">
        <v>46049</v>
      </c>
      <c r="E72" s="16" t="s">
        <v>187</v>
      </c>
      <c r="F72" s="2" t="s">
        <v>188</v>
      </c>
      <c r="G72" s="5" t="str">
        <f>HYPERLINK("https://siafe.sefaz.ce.gov.br/Siafe/downloadSignature?token=cd690fc52b9c4632a3c06b03701badd3","2026NE000078")</f>
        <v>2026NE000078</v>
      </c>
      <c r="H72" s="6">
        <v>150</v>
      </c>
      <c r="I72" s="7" t="s">
        <v>64</v>
      </c>
      <c r="J72" s="10" t="s">
        <v>209</v>
      </c>
    </row>
    <row r="73" spans="1:10" ht="38.25" x14ac:dyDescent="0.25">
      <c r="A73" s="12" t="s">
        <v>122</v>
      </c>
      <c r="B73" s="2" t="s">
        <v>206</v>
      </c>
      <c r="C73" s="3" t="str">
        <f>HYPERLINK("https://transparencia-area-fim.mpce.mp.br/#/consulta/processo/pastadigital/092023000255300","09.2023.00025530-0")</f>
        <v>09.2023.00025530-0</v>
      </c>
      <c r="D73" s="4">
        <v>46052</v>
      </c>
      <c r="E73" s="16" t="str">
        <f>HYPERLINK("https://www8.mpce.mp.br/Empenhos/150001/Objeto/42-2024.pdf","EMPENHO REF. SERVIÇO DO SISTEMA SAJ-MP HOSPEDAGEM EM NUVEM, CONF. CONTRATO 042/2024, REF. JAN/2026, POR ESTIMATIVA.")</f>
        <v>EMPENHO REF. SERVIÇO DO SISTEMA SAJ-MP HOSPEDAGEM EM NUVEM, CONF. CONTRATO 042/2024, REF. JAN/2026, POR ESTIMATIVA.</v>
      </c>
      <c r="F73" s="2" t="s">
        <v>200</v>
      </c>
      <c r="G73" s="5" t="str">
        <f>HYPERLINK("https://siafe.sefaz.ce.gov.br/Siafe/downloadSignature?token=a24d65e8ddab40109afe385544c1cac6","2026NE000079")</f>
        <v>2026NE000079</v>
      </c>
      <c r="H73" s="6">
        <v>104500</v>
      </c>
      <c r="I73" s="7" t="s">
        <v>70</v>
      </c>
      <c r="J73" s="10" t="s">
        <v>207</v>
      </c>
    </row>
    <row r="74" spans="1:10" ht="25.5" x14ac:dyDescent="0.25">
      <c r="A74" s="12" t="s">
        <v>122</v>
      </c>
      <c r="B74" s="2" t="s">
        <v>186</v>
      </c>
      <c r="C74" s="3" t="str">
        <f>HYPERLINK("https://transparencia-area-fim.mpce.mp.br/#/consulta/processo/pastadigital/092026000010874","09.2026.00001087-4")</f>
        <v>09.2026.00001087-4</v>
      </c>
      <c r="D74" s="4">
        <v>46049</v>
      </c>
      <c r="E74" s="16" t="s">
        <v>187</v>
      </c>
      <c r="F74" s="2" t="s">
        <v>188</v>
      </c>
      <c r="G74" s="5" t="str">
        <f>HYPERLINK("https://siafe.sefaz.ce.gov.br/Siafe/downloadSignature?token=554febb2ca3e46c6b27c8cf9e5461a8b","2026NE000079")</f>
        <v>2026NE000079</v>
      </c>
      <c r="H74" s="6">
        <v>141.69</v>
      </c>
      <c r="I74" s="7" t="s">
        <v>65</v>
      </c>
      <c r="J74" s="10" t="s">
        <v>210</v>
      </c>
    </row>
    <row r="75" spans="1:10" ht="38.25" x14ac:dyDescent="0.25">
      <c r="A75" s="12" t="s">
        <v>122</v>
      </c>
      <c r="B75" s="2" t="s">
        <v>186</v>
      </c>
      <c r="C75" s="3" t="str">
        <f>HYPERLINK("https://transparencia-area-fim.mpce.mp.br/#/consulta/processo/pastadigital/092026000010885","09.2026.00001088-5")</f>
        <v>09.2026.00001088-5</v>
      </c>
      <c r="D75" s="4">
        <v>46049</v>
      </c>
      <c r="E75" s="16" t="s">
        <v>187</v>
      </c>
      <c r="F75" s="2" t="s">
        <v>188</v>
      </c>
      <c r="G75" s="5" t="str">
        <f>HYPERLINK("https://siafe.sefaz.ce.gov.br/Siafe/downloadSignature?token=aca3dafad1dc48a693c0f79ac9f43fb4","2026NE000080")</f>
        <v>2026NE000080</v>
      </c>
      <c r="H75" s="6">
        <v>453.06</v>
      </c>
      <c r="I75" s="7" t="s">
        <v>66</v>
      </c>
      <c r="J75" s="10" t="s">
        <v>211</v>
      </c>
    </row>
    <row r="76" spans="1:10" ht="25.5" x14ac:dyDescent="0.25">
      <c r="A76" s="12" t="s">
        <v>122</v>
      </c>
      <c r="B76" s="2" t="s">
        <v>186</v>
      </c>
      <c r="C76" s="3" t="str">
        <f>HYPERLINK("https://transparencia-area-fim.mpce.mp.br/#/consulta/processo/pastadigital/092026000010896","09.2026.00001089-6")</f>
        <v>09.2026.00001089-6</v>
      </c>
      <c r="D76" s="4">
        <v>46049</v>
      </c>
      <c r="E76" s="16" t="s">
        <v>187</v>
      </c>
      <c r="F76" s="2" t="s">
        <v>188</v>
      </c>
      <c r="G76" s="5" t="str">
        <f>HYPERLINK("https://siafe.sefaz.ce.gov.br/Siafe/downloadSignature?token=2ba8424c9f7e4cae9079291d12a9f53f","2026NE000081")</f>
        <v>2026NE000081</v>
      </c>
      <c r="H76" s="6">
        <v>600</v>
      </c>
      <c r="I76" s="7" t="s">
        <v>67</v>
      </c>
      <c r="J76" s="10" t="s">
        <v>212</v>
      </c>
    </row>
    <row r="77" spans="1:10" ht="25.5" x14ac:dyDescent="0.25">
      <c r="A77" s="12" t="s">
        <v>122</v>
      </c>
      <c r="B77" s="2" t="s">
        <v>186</v>
      </c>
      <c r="C77" s="3" t="str">
        <f>HYPERLINK("https://transparencia-area-fim.mpce.mp.br/#/consulta/processo/pastadigital/092026000010908","09.2026.00001090-8")</f>
        <v>09.2026.00001090-8</v>
      </c>
      <c r="D77" s="4">
        <v>46049</v>
      </c>
      <c r="E77" s="16" t="s">
        <v>187</v>
      </c>
      <c r="F77" s="2" t="s">
        <v>188</v>
      </c>
      <c r="G77" s="5" t="str">
        <f>HYPERLINK("https://siafe.sefaz.ce.gov.br/Siafe/downloadSignature?token=084eefffe69e450386201e3a01224db0","2026NE000082")</f>
        <v>2026NE000082</v>
      </c>
      <c r="H77" s="6">
        <v>594.17999999999995</v>
      </c>
      <c r="I77" s="7" t="s">
        <v>213</v>
      </c>
      <c r="J77" s="10" t="s">
        <v>214</v>
      </c>
    </row>
    <row r="78" spans="1:10" ht="38.25" x14ac:dyDescent="0.25">
      <c r="A78" s="12" t="s">
        <v>122</v>
      </c>
      <c r="B78" s="2" t="s">
        <v>186</v>
      </c>
      <c r="C78" s="3" t="str">
        <f>HYPERLINK("https://transparencia-area-fim.mpce.mp.br/#/consulta/processo/pastadigital/092026000011040","09.2026.00001104-0")</f>
        <v>09.2026.00001104-0</v>
      </c>
      <c r="D78" s="4">
        <v>46049</v>
      </c>
      <c r="E78" s="16" t="s">
        <v>187</v>
      </c>
      <c r="F78" s="2" t="s">
        <v>188</v>
      </c>
      <c r="G78" s="5" t="str">
        <f>HYPERLINK("https://siafe.sefaz.ce.gov.br/Siafe/downloadSignature?token=e7e283f005f444f898b823efbcdc0f90","2026NE000083")</f>
        <v>2026NE000083</v>
      </c>
      <c r="H78" s="6">
        <v>636</v>
      </c>
      <c r="I78" s="7" t="s">
        <v>77</v>
      </c>
      <c r="J78" s="10" t="s">
        <v>215</v>
      </c>
    </row>
    <row r="79" spans="1:10" ht="25.5" x14ac:dyDescent="0.25">
      <c r="A79" s="12" t="s">
        <v>122</v>
      </c>
      <c r="B79" s="2" t="s">
        <v>186</v>
      </c>
      <c r="C79" s="3" t="str">
        <f>HYPERLINK("https://transparencia-area-fim.mpce.mp.br/#/consulta/processo/pastadigital/092026000011051","09.2026.00001105-1")</f>
        <v>09.2026.00001105-1</v>
      </c>
      <c r="D79" s="4">
        <v>46049</v>
      </c>
      <c r="E79" s="16" t="s">
        <v>216</v>
      </c>
      <c r="F79" s="2" t="s">
        <v>188</v>
      </c>
      <c r="G79" s="5" t="str">
        <f>HYPERLINK("https://siafe.sefaz.ce.gov.br/Siafe/downloadSignature?token=eb2b86248e5e4792b54068ce9f9f3b86","2026NE000084")</f>
        <v>2026NE000084</v>
      </c>
      <c r="H79" s="6">
        <v>1500</v>
      </c>
      <c r="I79" s="7" t="s">
        <v>68</v>
      </c>
      <c r="J79" s="10" t="s">
        <v>217</v>
      </c>
    </row>
    <row r="80" spans="1:10" ht="25.5" x14ac:dyDescent="0.25">
      <c r="A80" s="12" t="s">
        <v>122</v>
      </c>
      <c r="B80" s="2" t="s">
        <v>186</v>
      </c>
      <c r="C80" s="3" t="str">
        <f>HYPERLINK("https://transparencia-area-fim.mpce.mp.br/#/consulta/processo/pastadigital/092026000011062","09.2026.00001106-2")</f>
        <v>09.2026.00001106-2</v>
      </c>
      <c r="D80" s="4">
        <v>46049</v>
      </c>
      <c r="E80" s="16" t="s">
        <v>187</v>
      </c>
      <c r="F80" s="2" t="s">
        <v>188</v>
      </c>
      <c r="G80" s="5" t="str">
        <f>HYPERLINK("https://siafe.sefaz.ce.gov.br/Siafe/downloadSignature?token=da413687470a44ee8e833ce0702ce068","2026NE000085")</f>
        <v>2026NE000085</v>
      </c>
      <c r="H80" s="6">
        <v>433.62</v>
      </c>
      <c r="I80" s="7" t="s">
        <v>71</v>
      </c>
      <c r="J80" s="10" t="s">
        <v>218</v>
      </c>
    </row>
    <row r="81" spans="1:12" ht="38.25" x14ac:dyDescent="0.25">
      <c r="A81" s="12" t="s">
        <v>122</v>
      </c>
      <c r="B81" s="2" t="s">
        <v>146</v>
      </c>
      <c r="C81" s="3" t="str">
        <f>HYPERLINK("https://transparencia-area-fim.mpce.mp.br/#/consulta/processo/pastadigital/092024000265223","09.2024.00026522-3")</f>
        <v>09.2024.00026522-3</v>
      </c>
      <c r="D81" s="4">
        <v>46058</v>
      </c>
      <c r="E81" s="16" t="str">
        <f>HYPERLINK("https://www8.mpce.mp.br/Empenhos/150001/Objeto/91-2024.pdf","EMPENHO REF. LOCAÇÃO DE IMÓVEL PROMOTORIAS DE JUSTIÇA DA COMARCA DE JAGUARIBE, CONF. CONTRATO Nº 09/2024, REF. JAN/2026, POR ESTIMATIVA.")</f>
        <v>EMPENHO REF. LOCAÇÃO DE IMÓVEL PROMOTORIAS DE JUSTIÇA DA COMARCA DE JAGUARIBE, CONF. CONTRATO Nº 09/2024, REF. JAN/2026, POR ESTIMATIVA.</v>
      </c>
      <c r="F81" s="2" t="s">
        <v>113</v>
      </c>
      <c r="G81" s="5" t="str">
        <f>HYPERLINK("https://siafe.sefaz.ce.gov.br/Siafe/downloadSignature?token=0806f2f6adc441b3add6694ad975d0fc","2026NE000085")</f>
        <v>2026NE000085</v>
      </c>
      <c r="H81" s="6">
        <v>3000</v>
      </c>
      <c r="I81" s="7" t="s">
        <v>236</v>
      </c>
      <c r="J81" s="10" t="s">
        <v>237</v>
      </c>
    </row>
    <row r="82" spans="1:12" ht="38.25" x14ac:dyDescent="0.25">
      <c r="A82" s="12" t="s">
        <v>122</v>
      </c>
      <c r="B82" s="2" t="s">
        <v>186</v>
      </c>
      <c r="C82" s="3" t="str">
        <f>HYPERLINK("https://transparencia-area-fim.mpce.mp.br/#/consulta/processo/pastadigital/092026000011073","09.2026.00001107-3")</f>
        <v>09.2026.00001107-3</v>
      </c>
      <c r="D82" s="4">
        <v>46049</v>
      </c>
      <c r="E82" s="16" t="s">
        <v>219</v>
      </c>
      <c r="F82" s="2" t="s">
        <v>188</v>
      </c>
      <c r="G82" s="5" t="str">
        <f>HYPERLINK("https://siafe.sefaz.ce.gov.br/Siafe/downloadSignature?token=622d69e4868a4a4a861cda37873928b8","2026NE000086")</f>
        <v>2026NE000086</v>
      </c>
      <c r="H82" s="6">
        <v>50000</v>
      </c>
      <c r="I82" s="7" t="s">
        <v>72</v>
      </c>
      <c r="J82" s="10" t="s">
        <v>220</v>
      </c>
    </row>
    <row r="83" spans="1:12" ht="25.5" x14ac:dyDescent="0.25">
      <c r="A83" s="12" t="s">
        <v>111</v>
      </c>
      <c r="B83" s="2" t="s">
        <v>159</v>
      </c>
      <c r="C83" s="3" t="str">
        <f>HYPERLINK("https://transparencia-area-fim.mpce.mp.br/#/consulta/processo/pastadigital/092024000041060","09.2024.00004106-0")</f>
        <v>09.2024.00004106-0</v>
      </c>
      <c r="D83" s="4">
        <v>46050</v>
      </c>
      <c r="E83" s="16" t="str">
        <f>HYPERLINK("https://www8.mpce.mp.br/Empenhos/150001/Objeto/95-2024.pdf","EMPENHO REF. TELEFONICA BRASIL SA - VIVO, REF. JAN/2026, POR ESTIMATIVA.")</f>
        <v>EMPENHO REF. TELEFONICA BRASIL SA - VIVO, REF. JAN/2026, POR ESTIMATIVA.</v>
      </c>
      <c r="F83" s="2" t="s">
        <v>221</v>
      </c>
      <c r="G83" s="5" t="str">
        <f>HYPERLINK("https://siafe.sefaz.ce.gov.br/Siafe/downloadSignature?token=7279d97d3fbf44c494f24e73c24a33a6","2026NE000088")</f>
        <v>2026NE000088</v>
      </c>
      <c r="H83" s="6">
        <v>2105</v>
      </c>
      <c r="I83" s="7" t="s">
        <v>222</v>
      </c>
      <c r="J83" s="10" t="s">
        <v>223</v>
      </c>
    </row>
    <row r="84" spans="1:12" ht="38.25" x14ac:dyDescent="0.25">
      <c r="A84" s="12" t="s">
        <v>122</v>
      </c>
      <c r="B84" s="2" t="s">
        <v>186</v>
      </c>
      <c r="C84" s="3" t="str">
        <f>HYPERLINK("https://transparencia-area-fim.mpce.mp.br/#/consulta/processo/pastadigital/092026000010674","09.2026.00001067-4")</f>
        <v>09.2026.00001067-4</v>
      </c>
      <c r="D84" s="4">
        <v>46050</v>
      </c>
      <c r="E84" s="16" t="s">
        <v>224</v>
      </c>
      <c r="F84" s="2" t="s">
        <v>188</v>
      </c>
      <c r="G84" s="5" t="str">
        <f>HYPERLINK("https://siafe.sefaz.ce.gov.br/Siafe/downloadSignature?token=bf1a7fcbccee491c93052eab03271b80","2026NE000102")</f>
        <v>2026NE000102</v>
      </c>
      <c r="H84" s="6">
        <v>600</v>
      </c>
      <c r="I84" s="7" t="s">
        <v>75</v>
      </c>
      <c r="J84" s="10" t="s">
        <v>225</v>
      </c>
    </row>
    <row r="85" spans="1:12" ht="25.5" x14ac:dyDescent="0.25">
      <c r="A85" s="12" t="s">
        <v>122</v>
      </c>
      <c r="B85" s="2" t="s">
        <v>186</v>
      </c>
      <c r="C85" s="3" t="str">
        <f>HYPERLINK("https://transparencia-area-fim.mpce.mp.br/#/consulta/processo/pastadigital/092026000010652","09.2026.00001065-2")</f>
        <v>09.2026.00001065-2</v>
      </c>
      <c r="D85" s="4">
        <v>46050</v>
      </c>
      <c r="E85" s="16" t="s">
        <v>224</v>
      </c>
      <c r="F85" s="2" t="s">
        <v>188</v>
      </c>
      <c r="G85" s="5" t="str">
        <f>HYPERLINK("https://siafe.sefaz.ce.gov.br/Siafe/downloadSignature?token=8fc885ef901e4a4b9dab7f8add10164f","2026NE000103")</f>
        <v>2026NE000103</v>
      </c>
      <c r="H85" s="6">
        <v>595.16999999999996</v>
      </c>
      <c r="I85" s="7" t="s">
        <v>74</v>
      </c>
      <c r="J85" s="10" t="s">
        <v>226</v>
      </c>
    </row>
    <row r="86" spans="1:12" ht="38.25" x14ac:dyDescent="0.25">
      <c r="A86" s="12" t="s">
        <v>111</v>
      </c>
      <c r="B86" s="2" t="s">
        <v>182</v>
      </c>
      <c r="C86" s="3" t="str">
        <f>HYPERLINK("http://www8.mpce.mp.br/Dispensa/3072520194.pdf","30725/2019-4")</f>
        <v>30725/2019-4</v>
      </c>
      <c r="D86" s="4">
        <v>46057</v>
      </c>
      <c r="E86" s="16" t="str">
        <f>HYPERLINK("https://www8.mpce.mp.br/Empenhos/150001/Objeto/06-2020.pdf","EMPENHO REF. SERVIÇOS DE NUVEM E TRANSPORTE DE DADOS POR MEIO DO CINTURÃO DIGITAL DO CEARÁ, CONF. CONTRATO 006/2020, REF. JAN E FEV/2026, POR ESTIMATIVA.")</f>
        <v>EMPENHO REF. SERVIÇOS DE NUVEM E TRANSPORTE DE DADOS POR MEIO DO CINTURÃO DIGITAL DO CEARÁ, CONF. CONTRATO 006/2020, REF. JAN E FEV/2026, POR ESTIMATIVA.</v>
      </c>
      <c r="F86" s="2" t="s">
        <v>183</v>
      </c>
      <c r="G86" s="5" t="str">
        <f>HYPERLINK("https://siafe.sefaz.ce.gov.br/Siafe/downloadSignature?token=0768f031d3cd44c48d773544d840c53c","2026NE000104")</f>
        <v>2026NE000104</v>
      </c>
      <c r="H86" s="6">
        <v>19841.919999999998</v>
      </c>
      <c r="I86" s="7" t="s">
        <v>50</v>
      </c>
      <c r="J86" s="10" t="s">
        <v>184</v>
      </c>
    </row>
    <row r="87" spans="1:12" ht="25.5" x14ac:dyDescent="0.25">
      <c r="A87" s="12" t="s">
        <v>122</v>
      </c>
      <c r="B87" s="2" t="s">
        <v>186</v>
      </c>
      <c r="C87" s="3" t="str">
        <f>HYPERLINK("https://transparencia-area-fim.mpce.mp.br/#/consulta/processo/pastadigital/092026000010563","09.2026.00001056-3")</f>
        <v>09.2026.00001056-3</v>
      </c>
      <c r="D87" s="4">
        <v>46050</v>
      </c>
      <c r="E87" s="16" t="s">
        <v>224</v>
      </c>
      <c r="F87" s="2" t="s">
        <v>188</v>
      </c>
      <c r="G87" s="5" t="str">
        <f>HYPERLINK("https://siafe.sefaz.ce.gov.br/Siafe/downloadSignature?token=741013efb72b4037bd6314ef188a3f64","2026NE000104")</f>
        <v>2026NE000104</v>
      </c>
      <c r="H87" s="6">
        <v>117.84</v>
      </c>
      <c r="I87" s="7" t="s">
        <v>73</v>
      </c>
      <c r="J87" s="10" t="s">
        <v>227</v>
      </c>
    </row>
    <row r="88" spans="1:12" ht="51" x14ac:dyDescent="0.25">
      <c r="A88" s="12" t="s">
        <v>122</v>
      </c>
      <c r="B88" s="2" t="s">
        <v>146</v>
      </c>
      <c r="C88" s="3" t="str">
        <f>HYPERLINK("https://transparencia-area-fim.mpce.mp.br/#/consulta/processo/pastadigital/092024000189230","09.2024.00018923-0")</f>
        <v>09.2024.00018923-0</v>
      </c>
      <c r="D88" s="4">
        <v>46052</v>
      </c>
      <c r="E88" s="16" t="str">
        <f>HYPERLINK("https://www8.mpce.mp.br/Empenhos/150001/Objeto/84-2024.pdf","EMPENHO REF. SERVIÇO DE FORNECIMENTO DE ENERGIA ELÉTRICA, EM ALTA TENSÃO GRUPO B3 380/220V, POR INEXIGIBILIDADE DE LICITAÇÃO, CONF.  CONTRATO 084/2024, REF. JAN/2026, POR ESTIMATIVA")</f>
        <v>EMPENHO REF. SERVIÇO DE FORNECIMENTO DE ENERGIA ELÉTRICA, EM ALTA TENSÃO GRUPO B3 380/220V, POR INEXIGIBILIDADE DE LICITAÇÃO, CONF.  CONTRATO 084/2024, REF. JAN/2026, POR ESTIMATIVA</v>
      </c>
      <c r="F88" s="2" t="s">
        <v>228</v>
      </c>
      <c r="G88" s="5" t="str">
        <f>HYPERLINK("https://siafe.sefaz.ce.gov.br/Siafe/downloadSignature?token=ccab33ce42e645ea90758c938fc9a18b","2026NE000128")</f>
        <v>2026NE000128</v>
      </c>
      <c r="H88" s="6">
        <v>100000</v>
      </c>
      <c r="I88" s="7" t="s">
        <v>229</v>
      </c>
      <c r="J88" s="10" t="s">
        <v>230</v>
      </c>
    </row>
    <row r="89" spans="1:12" ht="60" x14ac:dyDescent="0.25">
      <c r="A89" s="12" t="s">
        <v>122</v>
      </c>
      <c r="B89" s="2" t="s">
        <v>146</v>
      </c>
      <c r="C89" s="3" t="str">
        <f>HYPERLINK("https://transparencia-area-fim.mpce.mp.br/#/consulta/processo/pastadigital/092024000189230","09.2024.00018923-0")</f>
        <v>09.2024.00018923-0</v>
      </c>
      <c r="D89" s="4">
        <v>46052</v>
      </c>
      <c r="E89" s="17" t="str">
        <f>HYPERLINK("https://www8.mpce.mp.br/Empenhos/150001/Objeto/98-2024.pdf","EMPENHO REF. SERVIÇO DE FORNECIMENTO DE ENERGIA ELÉTRICA, EM ALTA TENSÃO A4  HORO-SAZONAL VERDE, POR INEXIGIBILIDADE DE LICITAÇÃO, CONF.  CONTRATO 098/2024, REF. JAN/2026, POR E"&amp;"STIMATIVA")</f>
        <v>EMPENHO REF. SERVIÇO DE FORNECIMENTO DE ENERGIA ELÉTRICA, EM ALTA TENSÃO A4  HORO-SAZONAL VERDE, POR INEXIGIBILIDADE DE LICITAÇÃO, CONF.  CONTRATO 098/2024, REF. JAN/2026, POR ESTIMATIVA</v>
      </c>
      <c r="F89" s="2" t="s">
        <v>228</v>
      </c>
      <c r="G89" s="5" t="str">
        <f>HYPERLINK("https://siafe.sefaz.ce.gov.br/Siafe/downloadSignature?token=e419315d79e84ae283d5148ffa112eed","2026NE000129")</f>
        <v>2026NE000129</v>
      </c>
      <c r="H89" s="6">
        <v>150000</v>
      </c>
      <c r="I89" s="7" t="s">
        <v>229</v>
      </c>
      <c r="J89" s="10" t="s">
        <v>230</v>
      </c>
    </row>
    <row r="90" spans="1:12" ht="25.5" x14ac:dyDescent="0.25">
      <c r="A90" s="12" t="s">
        <v>122</v>
      </c>
      <c r="B90" s="2" t="s">
        <v>146</v>
      </c>
      <c r="C90" s="3" t="str">
        <f>HYPERLINK("https://transparencia-area-fim.mpce.mp.br/#/consulta/processo/pastadigital/092026000032702","09.2026.00003270-2")</f>
        <v>09.2026.00003270-2</v>
      </c>
      <c r="D90" s="4">
        <v>46052</v>
      </c>
      <c r="E90" s="16" t="s">
        <v>231</v>
      </c>
      <c r="F90" s="2" t="s">
        <v>232</v>
      </c>
      <c r="G90" s="5" t="str">
        <f>HYPERLINK("https://siafe.sefaz.ce.gov.br/Siafe/downloadSignature?token=c6a17b6cc54e4982a784852e6d8e2c4e","2026NE000131")</f>
        <v>2026NE000131</v>
      </c>
      <c r="H90" s="6">
        <v>100</v>
      </c>
      <c r="I90" s="7" t="s">
        <v>233</v>
      </c>
      <c r="J90" s="10" t="s">
        <v>234</v>
      </c>
    </row>
    <row r="91" spans="1:12" ht="38.25" x14ac:dyDescent="0.25">
      <c r="A91" s="12" t="s">
        <v>111</v>
      </c>
      <c r="B91" s="2" t="s">
        <v>238</v>
      </c>
      <c r="C91" s="3" t="str">
        <f>HYPERLINK("https://transparencia-area-fim.mpce.mp.br/#/consulta/processo/pastadigital/092026000009001","09.2026.00000900-1")</f>
        <v>09.2026.00000900-1</v>
      </c>
      <c r="D91" s="4">
        <v>46058</v>
      </c>
      <c r="E91" s="16" t="s">
        <v>239</v>
      </c>
      <c r="F91" s="2" t="s">
        <v>240</v>
      </c>
      <c r="G91" s="5" t="str">
        <f>HYPERLINK("https://siafe.sefaz.ce.gov.br/Siafe/downloadSignature?token=323a76fb154347829578e1f7336236cc","2026NE000137")</f>
        <v>2026NE000137</v>
      </c>
      <c r="H91" s="6">
        <v>16100</v>
      </c>
      <c r="I91" s="7" t="s">
        <v>241</v>
      </c>
      <c r="J91" s="10" t="s">
        <v>242</v>
      </c>
      <c r="L91" s="13"/>
    </row>
    <row r="92" spans="1:12" ht="45" x14ac:dyDescent="0.25">
      <c r="A92" s="12" t="s">
        <v>111</v>
      </c>
      <c r="B92" s="2" t="s">
        <v>159</v>
      </c>
      <c r="C92" s="3" t="str">
        <f>HYPERLINK("https://transparencia-area-fim.mpce.mp.br/#/consulta/processo/pastadigital/092026000007703","09.2026.00000770-3")</f>
        <v>09.2026.00000770-3</v>
      </c>
      <c r="D92" s="4">
        <v>46058</v>
      </c>
      <c r="E92" s="17" t="s">
        <v>243</v>
      </c>
      <c r="F92" s="2" t="s">
        <v>244</v>
      </c>
      <c r="G92" s="5" t="str">
        <f>HYPERLINK("https://siafe.sefaz.ce.gov.br/Siafe/downloadSignature?token=cb090e17d81845eaa9d31ddd8b4c853f","2026NE000138")</f>
        <v>2026NE000138</v>
      </c>
      <c r="H92" s="6">
        <v>9800</v>
      </c>
      <c r="I92" s="7" t="s">
        <v>241</v>
      </c>
      <c r="J92" s="10" t="s">
        <v>242</v>
      </c>
      <c r="L92" s="13"/>
    </row>
    <row r="93" spans="1:12" ht="60" x14ac:dyDescent="0.25">
      <c r="A93" s="12" t="s">
        <v>122</v>
      </c>
      <c r="B93" s="2" t="s">
        <v>245</v>
      </c>
      <c r="C93" s="3" t="str">
        <f>HYPERLINK("https://transparencia-area-fim.mpce.mp.br/#/consulta/processo/pastadigital/092023000385590","09.2023.00038559-0")</f>
        <v>09.2023.00038559-0</v>
      </c>
      <c r="D93" s="4">
        <v>46058</v>
      </c>
      <c r="E93" s="17" t="str">
        <f>HYPERLINK("https://www8.mpce.mp.br/Empenhos/150001/Objeto/25-2024.pdf","LICENÇAS DE ACESSO ÁS PLATAFORMAS DE SAÚDE FÍSICA WELLHUB E MENAL WELLZ PARA MEMBROS E SERVIDORES DO MP-CE, POR ESTIMATIVA E PARA JAN/2026, CONFORME CONTRATO 025/2024.")</f>
        <v>LICENÇAS DE ACESSO ÁS PLATAFORMAS DE SAÚDE FÍSICA WELLHUB E MENAL WELLZ PARA MEMBROS E SERVIDORES DO MP-CE, POR ESTIMATIVA E PARA JAN/2026, CONFORME CONTRATO 025/2024.</v>
      </c>
      <c r="F93" s="2" t="s">
        <v>246</v>
      </c>
      <c r="G93" s="5" t="str">
        <f>HYPERLINK("https://siafe.sefaz.ce.gov.br/Siafe/downloadSignature?token=6b2ab237165842879be4c17530856413","2026NE000139")</f>
        <v>2026NE000139</v>
      </c>
      <c r="H93" s="6">
        <v>53848.34</v>
      </c>
      <c r="I93" s="7" t="s">
        <v>55</v>
      </c>
      <c r="J93" s="10" t="s">
        <v>247</v>
      </c>
    </row>
    <row r="94" spans="1:12" ht="51" x14ac:dyDescent="0.25">
      <c r="A94" s="12" t="s">
        <v>122</v>
      </c>
      <c r="B94" s="2" t="s">
        <v>248</v>
      </c>
      <c r="C94" s="3" t="str">
        <f>HYPERLINK("https://transparencia-area-fim.mpce.mp.br/#/consulta/processo/pastadigital/092023000254844","09.2023.00025484-4")</f>
        <v>09.2023.00025484-4</v>
      </c>
      <c r="D94" s="4">
        <v>46058</v>
      </c>
      <c r="E94" s="16" t="str">
        <f>HYPERLINK("https://www8.mpce.mp.br/Empenhos/150001/Objeto/03-2024.pdf","EMPENHO REF. SERVIÇOS DE MANUTENÇÃO PARA EQUIPAMENTOS DE COMPUTAÇÃO, INCLUINDO O SERVIÇO DE MANUTENÇÃO TÉCNICO REMOTO, CONF. CONTRATO 003/2024, REF. JAN/2026, POR ESTIMATIVA.")</f>
        <v>EMPENHO REF. SERVIÇOS DE MANUTENÇÃO PARA EQUIPAMENTOS DE COMPUTAÇÃO, INCLUINDO O SERVIÇO DE MANUTENÇÃO TÉCNICO REMOTO, CONF. CONTRATO 003/2024, REF. JAN/2026, POR ESTIMATIVA.</v>
      </c>
      <c r="F94" s="2" t="s">
        <v>249</v>
      </c>
      <c r="G94" s="5" t="str">
        <f>HYPERLINK("https://siafe.sefaz.ce.gov.br/Siafe/downloadSignature?token=743c4c932a9e4942a026b03c3b0bc5c4","2026NE000140")</f>
        <v>2026NE000140</v>
      </c>
      <c r="H94" s="6">
        <v>1948.76</v>
      </c>
      <c r="I94" s="7" t="s">
        <v>54</v>
      </c>
      <c r="J94" s="10" t="s">
        <v>250</v>
      </c>
    </row>
    <row r="95" spans="1:12" ht="51" x14ac:dyDescent="0.25">
      <c r="A95" s="12" t="s">
        <v>122</v>
      </c>
      <c r="B95" s="2" t="s">
        <v>248</v>
      </c>
      <c r="C95" s="3" t="str">
        <f>HYPERLINK("https://transparencia-area-fim.mpce.mp.br/#/consulta/processo/pastadigital/092026000005138","09.2026.00000513-8")</f>
        <v>09.2026.00000513-8</v>
      </c>
      <c r="D95" s="4">
        <v>46058</v>
      </c>
      <c r="E95" s="16" t="str">
        <f>HYPERLINK("https://www8.mpce.mp.br/Empenhos/150001/Objeto/-2024-1.pdf","EMPENHO REF. SERVIÇOS DE EXTENSÃO DE GARANTIA PARA SOFTWARES INTEGRADOS A EQUIPAMENTOS DO DATACENTER DA PGJ, CONF. CONTRATO 003/2024, REF. JAN/2026, POR ESTIMATIVA.")</f>
        <v>EMPENHO REF. SERVIÇOS DE EXTENSÃO DE GARANTIA PARA SOFTWARES INTEGRADOS A EQUIPAMENTOS DO DATACENTER DA PGJ, CONF. CONTRATO 003/2024, REF. JAN/2026, POR ESTIMATIVA.</v>
      </c>
      <c r="F95" s="2" t="s">
        <v>249</v>
      </c>
      <c r="G95" s="5" t="str">
        <f>HYPERLINK("https://siafe.sefaz.ce.gov.br/Siafe/downloadSignature?token=a29b529c02f644c9917c19a416a72fe1","2026NE000141")</f>
        <v>2026NE000141</v>
      </c>
      <c r="H95" s="6">
        <v>1466.82</v>
      </c>
      <c r="I95" s="7" t="s">
        <v>54</v>
      </c>
      <c r="J95" s="10" t="s">
        <v>251</v>
      </c>
    </row>
    <row r="96" spans="1:12" ht="38.25" x14ac:dyDescent="0.25">
      <c r="A96" s="12" t="s">
        <v>122</v>
      </c>
      <c r="B96" s="2" t="s">
        <v>203</v>
      </c>
      <c r="C96" s="3" t="str">
        <f>HYPERLINK("https://transparencia-area-fim.mpce.mp.br/#/consulta/processo/pastadigital/092021000000456","09.2021.00000045-6")</f>
        <v>09.2021.00000045-6</v>
      </c>
      <c r="D96" s="4">
        <v>46063</v>
      </c>
      <c r="E96" s="16" t="str">
        <f>HYPERLINK("https://www8.mpce.mp.br/Empenhos/150001/Objeto/02-2021.pdf","EMPENHO REF. SUPORTE TÉCNICO DA SOLUÇÃO GUARDIÃO WEB-BY NGC, CONF. CONTRATO 002/2021, REF. JAN/2026, POR ESTIMATIVA.")</f>
        <v>EMPENHO REF. SUPORTE TÉCNICO DA SOLUÇÃO GUARDIÃO WEB-BY NGC, CONF. CONTRATO 002/2021, REF. JAN/2026, POR ESTIMATIVA.</v>
      </c>
      <c r="F96" s="2" t="s">
        <v>252</v>
      </c>
      <c r="G96" s="5" t="str">
        <f>HYPERLINK("https://siafe.sefaz.ce.gov.br/Siafe/downloadSignature?token=4296de33a0464e758605f6e51aa683a1","2026NE000142")</f>
        <v>2026NE000142</v>
      </c>
      <c r="H96" s="6">
        <v>21784</v>
      </c>
      <c r="I96" s="7" t="s">
        <v>57</v>
      </c>
      <c r="J96" s="10" t="s">
        <v>253</v>
      </c>
    </row>
    <row r="97" spans="1:12" ht="38.25" x14ac:dyDescent="0.25">
      <c r="A97" s="12" t="s">
        <v>122</v>
      </c>
      <c r="B97" s="2" t="s">
        <v>146</v>
      </c>
      <c r="C97" s="3" t="str">
        <f>HYPERLINK("https://transparencia-area-fim.mpce.mp.br/#/consulta/processo/pastadigital/092024000031194","09.2024.00003119-4")</f>
        <v>09.2024.00003119-4</v>
      </c>
      <c r="D97" s="4">
        <v>46057</v>
      </c>
      <c r="E97" s="16" t="str">
        <f>HYPERLINK("https://www8.mpce.mp.br/Empenhos/150001/Objeto/35-2024.pdf","MENSALIDADES DE ALUNOS DE CURSOS DE PÓS GRADUAÇÃO EM DIREITO PENAL E PROCESSUAL PENAL, PARA COMPETÊNCIAS DE JANEIRO  MARÇO DE 2026.")</f>
        <v>MENSALIDADES DE ALUNOS DE CURSOS DE PÓS GRADUAÇÃO EM DIREITO PENAL E PROCESSUAL PENAL, PARA COMPETÊNCIAS DE JANEIRO  MARÇO DE 2026.</v>
      </c>
      <c r="F97" s="2" t="s">
        <v>254</v>
      </c>
      <c r="G97" s="5" t="str">
        <f>HYPERLINK("https://siafe.sefaz.ce.gov.br/Siafe/downloadSignature?token=46a987ce83924bf4a6cc56d442278923","2026NE000143")</f>
        <v>2026NE000143</v>
      </c>
      <c r="H97" s="6">
        <v>4725</v>
      </c>
      <c r="I97" s="7" t="s">
        <v>255</v>
      </c>
      <c r="J97" s="10" t="s">
        <v>256</v>
      </c>
    </row>
    <row r="98" spans="1:12" ht="38.25" x14ac:dyDescent="0.25">
      <c r="A98" s="12" t="s">
        <v>122</v>
      </c>
      <c r="B98" s="2" t="s">
        <v>206</v>
      </c>
      <c r="C98" s="3" t="str">
        <f>HYPERLINK("https://transparencia-area-fim.mpce.mp.br/#/consulta/processo/pastadigital/092023000255300","09.2023.00025530-0")</f>
        <v>09.2023.00025530-0</v>
      </c>
      <c r="D98" s="4">
        <v>46066</v>
      </c>
      <c r="E98" s="16" t="str">
        <f>HYPERLINK("https://www8.mpce.mp.br/Empenhos/150001/Objeto/42-2024.pdf","EMPENHO REF. SERVIÇO DO SISTEMA SAJ-MP - ACOMPANHAMENTO DA OPERAÇÃO , CONF. CONTRATO 042/2024, REF. JAN/2026, POR ESTIMATIVA.")</f>
        <v>EMPENHO REF. SERVIÇO DO SISTEMA SAJ-MP - ACOMPANHAMENTO DA OPERAÇÃO , CONF. CONTRATO 042/2024, REF. JAN/2026, POR ESTIMATIVA.</v>
      </c>
      <c r="F98" s="2" t="s">
        <v>257</v>
      </c>
      <c r="G98" s="5" t="str">
        <f>HYPERLINK("https://siafe.sefaz.ce.gov.br/Siafe/downloadSignature?token=819252782dc649e68428604512be4009","2026NE000145")</f>
        <v>2026NE000145</v>
      </c>
      <c r="H98" s="6">
        <v>72857</v>
      </c>
      <c r="I98" s="7" t="s">
        <v>70</v>
      </c>
      <c r="J98" s="10" t="s">
        <v>207</v>
      </c>
      <c r="L98" s="13"/>
    </row>
    <row r="99" spans="1:12" ht="51" x14ac:dyDescent="0.25">
      <c r="A99" s="12" t="s">
        <v>122</v>
      </c>
      <c r="B99" s="2" t="s">
        <v>186</v>
      </c>
      <c r="C99" s="3" t="str">
        <f>HYPERLINK("https://transparencia-area-fim.mpce.mp.br/#/consulta/processo/pastadigital/092021000204268","09.2021.00020426-8")</f>
        <v>09.2021.00020426-8</v>
      </c>
      <c r="D99" s="4">
        <v>46058</v>
      </c>
      <c r="E99" s="16" t="str">
        <f>HYPERLINK("https://www8.mpce.mp.br/Empenhos/150001/Objeto/36-2021.pdf","SERVIÇOS COM DOI , ARTIGOS, DISSERTAÇÃO  E VERIFICAÇÃO DE PLÁGIO, CONFORME CONTRATO 036/2021 FIRMADO COM  ASSOCIAÇÃO BRASILEIRA DE EDITORES CIENTÍFICOS ABEC")</f>
        <v>SERVIÇOS COM DOI , ARTIGOS, DISSERTAÇÃO  E VERIFICAÇÃO DE PLÁGIO, CONFORME CONTRATO 036/2021 FIRMADO COM  ASSOCIAÇÃO BRASILEIRA DE EDITORES CIENTÍFICOS ABEC</v>
      </c>
      <c r="F99" s="2" t="s">
        <v>258</v>
      </c>
      <c r="G99" s="5" t="str">
        <f>HYPERLINK("https://siafe.sefaz.ce.gov.br/Siafe/downloadSignature?token=d88e960140f145f4881c170e8b825ddc","2026NE000148")</f>
        <v>2026NE000148</v>
      </c>
      <c r="H99" s="6">
        <v>481.36</v>
      </c>
      <c r="I99" s="7" t="s">
        <v>259</v>
      </c>
      <c r="J99" s="10" t="s">
        <v>260</v>
      </c>
      <c r="L99" s="13"/>
    </row>
    <row r="100" spans="1:12" ht="45" x14ac:dyDescent="0.25">
      <c r="A100" s="12" t="s">
        <v>122</v>
      </c>
      <c r="B100" s="2" t="s">
        <v>206</v>
      </c>
      <c r="C100" s="3" t="str">
        <f>HYPERLINK("https://transparencia-area-fim.mpce.mp.br/#/consulta/processo/pastadigital/092023000255300","09.2023.00025530-0")</f>
        <v>09.2023.00025530-0</v>
      </c>
      <c r="D100" s="4">
        <v>46066</v>
      </c>
      <c r="E100" s="17" t="str">
        <f>HYPERLINK("https://www8.mpce.mp.br/Empenhos/150001/Objeto/42-2024.pdf","EMPENHO REF. SERVIÇO DO SISTEMA SAJ-MP - SUPORTE 1° NÌVEL, CONF. CONTRATO 042/2024, REF. JAN/2026, POR ESTIMATIVA.")</f>
        <v>EMPENHO REF. SERVIÇO DO SISTEMA SAJ-MP - SUPORTE 1° NÌVEL, CONF. CONTRATO 042/2024, REF. JAN/2026, POR ESTIMATIVA.</v>
      </c>
      <c r="F100" s="2" t="s">
        <v>257</v>
      </c>
      <c r="G100" s="5" t="str">
        <f>HYPERLINK("https://siafe.sefaz.ce.gov.br/Siafe/downloadSignature?token=62e5dfd0175442c38ca44357efebede8","2026NE000148")</f>
        <v>2026NE000148</v>
      </c>
      <c r="H100" s="6">
        <v>160869.12</v>
      </c>
      <c r="I100" s="7" t="s">
        <v>70</v>
      </c>
      <c r="J100" s="10" t="s">
        <v>207</v>
      </c>
      <c r="L100" s="13"/>
    </row>
    <row r="101" spans="1:12" ht="38.25" x14ac:dyDescent="0.25">
      <c r="A101" s="12" t="s">
        <v>122</v>
      </c>
      <c r="B101" s="2" t="s">
        <v>206</v>
      </c>
      <c r="C101" s="3" t="str">
        <f>HYPERLINK("https://transparencia-area-fim.mpce.mp.br/#/consulta/processo/pastadigital/092023000255300","09.2023.00025530-0")</f>
        <v>09.2023.00025530-0</v>
      </c>
      <c r="D101" s="4">
        <v>46066</v>
      </c>
      <c r="E101" s="16" t="str">
        <f>HYPERLINK("https://www8.mpce.mp.br/Empenhos/150001/Objeto/42-2024.pdf","EMPENHO REF. SERVIÇO DO SISTEMA SAJ-MP - SUPORTE ESTENDIDO, CONF. CONTRATO 042/2024, REF. JAN/2026, POR ESTIMATIVA.")</f>
        <v>EMPENHO REF. SERVIÇO DO SISTEMA SAJ-MP - SUPORTE ESTENDIDO, CONF. CONTRATO 042/2024, REF. JAN/2026, POR ESTIMATIVA.</v>
      </c>
      <c r="F101" s="2" t="s">
        <v>257</v>
      </c>
      <c r="G101" s="5" t="str">
        <f>HYPERLINK("https://siafe.sefaz.ce.gov.br/Siafe/downloadSignature?token=7f5da4904b9149608882048890ac3978","2026NE000149")</f>
        <v>2026NE000149</v>
      </c>
      <c r="H101" s="6">
        <v>13896.9</v>
      </c>
      <c r="I101" s="7" t="s">
        <v>70</v>
      </c>
      <c r="J101" s="10" t="s">
        <v>207</v>
      </c>
      <c r="L101" s="13"/>
    </row>
    <row r="102" spans="1:12" ht="38.25" x14ac:dyDescent="0.25">
      <c r="A102" s="12" t="s">
        <v>122</v>
      </c>
      <c r="B102" s="2" t="s">
        <v>206</v>
      </c>
      <c r="C102" s="3" t="str">
        <f>HYPERLINK("https://transparencia-area-fim.mpce.mp.br/#/consulta/processo/pastadigital/092023000255300","09.2023.00025530-0")</f>
        <v>09.2023.00025530-0</v>
      </c>
      <c r="D102" s="4">
        <v>46066</v>
      </c>
      <c r="E102" s="16" t="str">
        <f>HYPERLINK("https://www8.mpce.mp.br/Empenhos/150001/Objeto/42-2024.pdf","EMPENHO REF. SERVIÇO DO SISTEMA SAJ-MP - SOB DEMANDA, CONF. CONTRATO 042/2024, REF. JAN/2026, POR ESTIMATIVA.")</f>
        <v>EMPENHO REF. SERVIÇO DO SISTEMA SAJ-MP - SOB DEMANDA, CONF. CONTRATO 042/2024, REF. JAN/2026, POR ESTIMATIVA.</v>
      </c>
      <c r="F102" s="2" t="s">
        <v>257</v>
      </c>
      <c r="G102" s="5" t="str">
        <f>HYPERLINK("https://siafe.sefaz.ce.gov.br/Siafe/downloadSignature?token=2056b3f40b69494d83a8a170543cc5c7","2026NE000151")</f>
        <v>2026NE000151</v>
      </c>
      <c r="H102" s="6">
        <v>44000</v>
      </c>
      <c r="I102" s="7" t="s">
        <v>70</v>
      </c>
      <c r="J102" s="10" t="s">
        <v>207</v>
      </c>
      <c r="L102" s="13"/>
    </row>
    <row r="103" spans="1:12" ht="51" x14ac:dyDescent="0.25">
      <c r="A103" s="12" t="s">
        <v>122</v>
      </c>
      <c r="B103" s="2" t="s">
        <v>146</v>
      </c>
      <c r="C103" s="3" t="str">
        <f>HYPERLINK("https://transparencia-area-fim.mpce.mp.br/#/consulta/processo/pastadigital/092025000043617","09.2025.00004361-7")</f>
        <v>09.2025.00004361-7</v>
      </c>
      <c r="D103" s="4">
        <v>46058</v>
      </c>
      <c r="E103" s="16" t="str">
        <f>HYPERLINK("https://www8.mpce.mp.br/Empenhos/150001/Objeto/11-2025.pdf","MENSALIDADE DE ALUNOS DO CURSOS DE PÓS GRADUAÇÃO STRICTO SENSU CONFORME CONTRATO 011/2025, POR ESTIMATIVA E RELATIVO AOS MESES DE JANEIRO E FEVEREIRO DE 2026.")</f>
        <v>MENSALIDADE DE ALUNOS DO CURSOS DE PÓS GRADUAÇÃO STRICTO SENSU CONFORME CONTRATO 011/2025, POR ESTIMATIVA E RELATIVO AOS MESES DE JANEIRO E FEVEREIRO DE 2026.</v>
      </c>
      <c r="F103" s="2" t="s">
        <v>263</v>
      </c>
      <c r="G103" s="5" t="str">
        <f>HYPERLINK("https://siafe.sefaz.ce.gov.br/Siafe/downloadSignature?token=897ff55dab78433d831e48018a663dc1","2026NE000160")</f>
        <v>2026NE000160</v>
      </c>
      <c r="H103" s="6">
        <v>42500</v>
      </c>
      <c r="I103" s="7" t="s">
        <v>34</v>
      </c>
      <c r="J103" s="10" t="s">
        <v>264</v>
      </c>
      <c r="L103" s="13"/>
    </row>
    <row r="104" spans="1:12" ht="38.25" x14ac:dyDescent="0.25">
      <c r="A104" s="12" t="s">
        <v>122</v>
      </c>
      <c r="B104" s="2" t="s">
        <v>146</v>
      </c>
      <c r="C104" s="3" t="str">
        <f>HYPERLINK("https://transparencia-area-fim.mpce.mp.br/#/consulta/processo/pastadigital/092024000162330","09.2024.00016233-0")</f>
        <v>09.2024.00016233-0</v>
      </c>
      <c r="D104" s="4">
        <v>46062</v>
      </c>
      <c r="E104" s="16" t="str">
        <f>HYPERLINK("https://www8.mpce.mp.br/Empenhos/150001/Objeto/45-2024.pdf","1 º ADITIVO AO CONTRATO 045/2024 CELEBRADO COM A EMPRESA VERIFACT TECNOLOGIA LTDA, COM PAGAMENTO UNICO.")</f>
        <v>1 º ADITIVO AO CONTRATO 045/2024 CELEBRADO COM A EMPRESA VERIFACT TECNOLOGIA LTDA, COM PAGAMENTO UNICO.</v>
      </c>
      <c r="F104" s="2" t="s">
        <v>261</v>
      </c>
      <c r="G104" s="5" t="str">
        <f>HYPERLINK("https://siafe.sefaz.ce.gov.br/Siafe/downloadSignature?token=5db25441c4bc4c7797740bdb9e4f4eb6","2026NE000160")</f>
        <v>2026NE000160</v>
      </c>
      <c r="H104" s="6">
        <v>9700</v>
      </c>
      <c r="I104" s="7" t="s">
        <v>103</v>
      </c>
      <c r="J104" s="10" t="s">
        <v>262</v>
      </c>
    </row>
    <row r="105" spans="1:12" ht="51" x14ac:dyDescent="0.25">
      <c r="A105" s="12" t="s">
        <v>111</v>
      </c>
      <c r="B105" s="2" t="s">
        <v>115</v>
      </c>
      <c r="C105" s="3" t="str">
        <f>HYPERLINK("https://transparencia-area-fim.mpce.mp.br/#/consulta/processo/pastadigital/092021000063220","09.2021.00006322-0")</f>
        <v>09.2021.00006322-0</v>
      </c>
      <c r="D105" s="4">
        <v>46078</v>
      </c>
      <c r="E105" s="16" t="str">
        <f>HYPERLINK("https://www8.mpce.mp.br/Empenhos/150001/Objeto/33-2021.pdf","EMPENHO REF. ALUGUEL DE IMÓVEL ONDE FUNCIONAM PROMOTORIAS DE JUSTIÇA DA COMARCA DE SOBRAL, CONF. CONTRATO 033/2021, REF. FEV E MAR/2026, POR ESTIMATIVA.")</f>
        <v>EMPENHO REF. ALUGUEL DE IMÓVEL ONDE FUNCIONAM PROMOTORIAS DE JUSTIÇA DA COMARCA DE SOBRAL, CONF. CONTRATO 033/2021, REF. FEV E MAR/2026, POR ESTIMATIVA.</v>
      </c>
      <c r="F105" s="2" t="s">
        <v>121</v>
      </c>
      <c r="G105" s="5" t="str">
        <f>HYPERLINK("https://siafe.sefaz.ce.gov.br/Siafe/downloadSignature?token=f9747d24d967498e9117fb65472d9c2e","2026NE000161")</f>
        <v>2026NE000161</v>
      </c>
      <c r="H105" s="6">
        <v>72533.3</v>
      </c>
      <c r="I105" s="7" t="s">
        <v>21</v>
      </c>
      <c r="J105" s="10" t="s">
        <v>132</v>
      </c>
      <c r="L105" s="13"/>
    </row>
    <row r="106" spans="1:12" ht="51" x14ac:dyDescent="0.25">
      <c r="A106" s="12" t="s">
        <v>111</v>
      </c>
      <c r="B106" s="2" t="s">
        <v>115</v>
      </c>
      <c r="C106" s="3" t="str">
        <f>HYPERLINK("https://transparencia-area-fim.mpce.mp.br/#/consulta/processo/pastadigital/092023000338530","09.2023.00033853-0")</f>
        <v>09.2023.00033853-0</v>
      </c>
      <c r="D106" s="4">
        <v>46078</v>
      </c>
      <c r="E106" s="16" t="str">
        <f>HYPERLINK("https://www8.mpce.mp.br/Empenhos/150001/Objeto/05-2024.pdf","EMPENHO REF. ALUGUEL DE IMÓVEL ONDE FUNCIONAM PROMOTORIAS DE JUSTIÇA DA COMARCA DE BATURITÉ-CE, CONF. CONTRATO 005/2024, REF. FEV E MAR/2026, POR ESTIMATIVA.")</f>
        <v>EMPENHO REF. ALUGUEL DE IMÓVEL ONDE FUNCIONAM PROMOTORIAS DE JUSTIÇA DA COMARCA DE BATURITÉ-CE, CONF. CONTRATO 005/2024, REF. FEV E MAR/2026, POR ESTIMATIVA.</v>
      </c>
      <c r="F106" s="2" t="s">
        <v>121</v>
      </c>
      <c r="G106" s="5" t="str">
        <f>HYPERLINK("https://siafe.sefaz.ce.gov.br/Siafe/downloadSignature?token=f194a269461c48aa8c671b03713b7433","2026NE000162")</f>
        <v>2026NE000162</v>
      </c>
      <c r="H106" s="6">
        <v>30544</v>
      </c>
      <c r="I106" s="7" t="s">
        <v>21</v>
      </c>
      <c r="J106" s="10" t="s">
        <v>132</v>
      </c>
      <c r="L106" s="13"/>
    </row>
    <row r="107" spans="1:12" ht="51" x14ac:dyDescent="0.25">
      <c r="A107" s="12" t="s">
        <v>122</v>
      </c>
      <c r="B107" s="2" t="s">
        <v>146</v>
      </c>
      <c r="C107" s="3" t="str">
        <f>HYPERLINK("https://transparencia-area-fim.mpce.mp.br/#/consulta/processo/pastadigital/092024000189230","09.2024.00018923-0")</f>
        <v>09.2024.00018923-0</v>
      </c>
      <c r="D107" s="4">
        <v>46059</v>
      </c>
      <c r="E107" s="16" t="str">
        <f>HYPERLINK("https://www8.mpce.mp.br/Empenhos/150001/Objeto/99-2024.pdf","EMPENHO REF. SERVIÇO DE FORNECIMENTO DE ENERGIA ELÉTRICA, EM ALTA TENSÃO, POR INEXIGIBILIDADE DE LICITAÇÃO, CONF. CONTRATO 099/2024, REF. JAN/2026, POR ESTIMATIVA.")</f>
        <v>EMPENHO REF. SERVIÇO DE FORNECIMENTO DE ENERGIA ELÉTRICA, EM ALTA TENSÃO, POR INEXIGIBILIDADE DE LICITAÇÃO, CONF. CONTRATO 099/2024, REF. JAN/2026, POR ESTIMATIVA.</v>
      </c>
      <c r="F107" s="2" t="s">
        <v>228</v>
      </c>
      <c r="G107" s="5" t="str">
        <f>HYPERLINK("https://siafe.sefaz.ce.gov.br/Siafe/downloadSignature?token=ac95c35776df4e42bc19d03a5e3ba9ff","2026NE000162")</f>
        <v>2026NE000162</v>
      </c>
      <c r="H107" s="6">
        <v>11500</v>
      </c>
      <c r="I107" s="7" t="s">
        <v>229</v>
      </c>
      <c r="J107" s="10" t="s">
        <v>230</v>
      </c>
      <c r="L107" s="13"/>
    </row>
    <row r="108" spans="1:12" ht="51" x14ac:dyDescent="0.25">
      <c r="A108" s="12" t="s">
        <v>122</v>
      </c>
      <c r="B108" s="2" t="s">
        <v>123</v>
      </c>
      <c r="C108" s="3" t="str">
        <f>HYPERLINK("https://transparencia-area-fim.mpce.mp.br/#/consulta/processo/pastadigital/092022000426227","09.2022.00042622-7")</f>
        <v>09.2022.00042622-7</v>
      </c>
      <c r="D108" s="4">
        <v>46077</v>
      </c>
      <c r="E108" s="16" t="str">
        <f>HYPERLINK("https://www8.mpce.mp.br/Empenhos/150001/Objeto/33-2023.pdf","EMPENHO REF. ALUGUEL DE IMÓVEL ONDE FUNCIONAM PROMOTORIAS DE JUSTIÇA DA COMARCA DE JUCÁS, CONF. CONTRATO 033/2023, REF. FEV E MAR/2026, POR ESTIMATIVA.")</f>
        <v>EMPENHO REF. ALUGUEL DE IMÓVEL ONDE FUNCIONAM PROMOTORIAS DE JUSTIÇA DA COMARCA DE JUCÁS, CONF. CONTRATO 033/2023, REF. FEV E MAR/2026, POR ESTIMATIVA.</v>
      </c>
      <c r="F108" s="2" t="s">
        <v>113</v>
      </c>
      <c r="G108" s="5" t="str">
        <f>HYPERLINK("https://siafe.sefaz.ce.gov.br/Siafe/downloadSignature?token=cb70dbb18c4b453c83e4d676a563a5db","2026NE000163")</f>
        <v>2026NE000163</v>
      </c>
      <c r="H108" s="6">
        <v>5000</v>
      </c>
      <c r="I108" s="7" t="s">
        <v>45</v>
      </c>
      <c r="J108" s="10" t="s">
        <v>150</v>
      </c>
      <c r="L108" s="13"/>
    </row>
    <row r="109" spans="1:12" ht="51" x14ac:dyDescent="0.25">
      <c r="A109" s="12" t="s">
        <v>122</v>
      </c>
      <c r="B109" s="2" t="s">
        <v>146</v>
      </c>
      <c r="C109" s="3" t="str">
        <f>HYPERLINK("https://transparencia-area-fim.mpce.mp.br/#/consulta/processo/pastadigital/092025000026529","09.2025.00002652-9")</f>
        <v>09.2025.00002652-9</v>
      </c>
      <c r="D109" s="4">
        <v>46077</v>
      </c>
      <c r="E109" s="16" t="str">
        <f>HYPERLINK("https://www8.mpce.mp.br/Empenhos/150001/Objeto/33-2025.pdf","EMPENHO REF. ALUGUEL DE IMÓVEL ONDE FUNCIONAM PROMOTORIAS DE JUSTIÇA DA COMARCA DE JIJOCA DE JERICOACOARA, CONF. CONTRATO 033/2025, REF. FEV E MAR/2026, POR ESTIMATIVA.")</f>
        <v>EMPENHO REF. ALUGUEL DE IMÓVEL ONDE FUNCIONAM PROMOTORIAS DE JUSTIÇA DA COMARCA DE JIJOCA DE JERICOACOARA, CONF. CONTRATO 033/2025, REF. FEV E MAR/2026, POR ESTIMATIVA.</v>
      </c>
      <c r="F109" s="2" t="s">
        <v>113</v>
      </c>
      <c r="G109" s="5" t="str">
        <f>HYPERLINK("https://siafe.sefaz.ce.gov.br/Siafe/downloadSignature?token=aada8158c1574832bc5b240b49ec9566","2026NE000164")</f>
        <v>2026NE000164</v>
      </c>
      <c r="H109" s="6">
        <v>10000</v>
      </c>
      <c r="I109" s="7" t="s">
        <v>148</v>
      </c>
      <c r="J109" s="10" t="s">
        <v>149</v>
      </c>
      <c r="L109" s="13"/>
    </row>
    <row r="110" spans="1:12" ht="51" x14ac:dyDescent="0.25">
      <c r="A110" s="12" t="s">
        <v>111</v>
      </c>
      <c r="B110" s="2" t="s">
        <v>159</v>
      </c>
      <c r="C110" s="3" t="str">
        <f>HYPERLINK("https://transparencia-area-fim.mpce.mp.br/#/consulta/processo/pastadigital/092025000206082","09.2025.00020608-2")</f>
        <v>09.2025.00020608-2</v>
      </c>
      <c r="D110" s="4">
        <v>46062</v>
      </c>
      <c r="E110" s="16" t="str">
        <f>HYPERLINK("https://www8.mpce.mp.br/Empenhos/150001/Objeto/39-2025.pdf","EMPENHO REF. FORNECIMENTO DE PRODUTOS E DE DIVERSOS SERVIÇOS DOS CORREIOS POR MEIO DOS CANAIS DE ATENDIMENTO DISPONIBILIZADOS, CONF. CONTRATO 039/2025, REF. JAN E FEV/2026, POR "&amp;"ESTIMATIVA.")</f>
        <v>EMPENHO REF. FORNECIMENTO DE PRODUTOS E DE DIVERSOS SERVIÇOS DOS CORREIOS POR MEIO DOS CANAIS DE ATENDIMENTO DISPONIBILIZADOS, CONF. CONTRATO 039/2025, REF. JAN E FEV/2026, POR ESTIMATIVA.</v>
      </c>
      <c r="F110" s="2" t="s">
        <v>265</v>
      </c>
      <c r="G110" s="5" t="str">
        <f>HYPERLINK("https://siafe.sefaz.ce.gov.br/Siafe/downloadSignature?token=9c5f4b7004db417686abb5859ecdb258","2026NE000164")</f>
        <v>2026NE000164</v>
      </c>
      <c r="H110" s="6">
        <v>24000</v>
      </c>
      <c r="I110" s="7" t="s">
        <v>49</v>
      </c>
      <c r="J110" s="10" t="s">
        <v>266</v>
      </c>
      <c r="L110" s="13"/>
    </row>
    <row r="111" spans="1:12" ht="51" x14ac:dyDescent="0.25">
      <c r="A111" s="12" t="s">
        <v>111</v>
      </c>
      <c r="B111" s="2" t="s">
        <v>115</v>
      </c>
      <c r="C111" s="3" t="str">
        <f>HYPERLINK("http://www8.mpce.mp.br/Dispensa/6795020160.pdf","6795020160")</f>
        <v>6795020160</v>
      </c>
      <c r="D111" s="4">
        <v>46077</v>
      </c>
      <c r="E111" s="16" t="str">
        <f>HYPERLINK("https://www8.mpce.mp.br/Empenhos/150001/Objeto/08-2017.pdf","EMPENHO REF. ALUGUEL DE IMÓVEL ONDE FUNCIONAM PROMOTORIAS DE JUSTIÇA DA COMARCA DE JARDIM, CONF. CONTRATO 008/2017, REF. FEV E MAR/2026, POR ESTIMATIVA.")</f>
        <v>EMPENHO REF. ALUGUEL DE IMÓVEL ONDE FUNCIONAM PROMOTORIAS DE JUSTIÇA DA COMARCA DE JARDIM, CONF. CONTRATO 008/2017, REF. FEV E MAR/2026, POR ESTIMATIVA.</v>
      </c>
      <c r="F111" s="2" t="s">
        <v>113</v>
      </c>
      <c r="G111" s="5" t="str">
        <f>HYPERLINK("https://siafe.sefaz.ce.gov.br/Siafe/downloadSignature?token=3b33e2180ad54874917ea1f3c26b95e0","2026NE000165")</f>
        <v>2026NE000165</v>
      </c>
      <c r="H111" s="6">
        <v>1474.86</v>
      </c>
      <c r="I111" s="7" t="s">
        <v>91</v>
      </c>
      <c r="J111" s="10" t="s">
        <v>129</v>
      </c>
      <c r="L111" s="13"/>
    </row>
    <row r="112" spans="1:12" ht="38.25" x14ac:dyDescent="0.25">
      <c r="A112" s="12" t="s">
        <v>122</v>
      </c>
      <c r="B112" s="2" t="s">
        <v>146</v>
      </c>
      <c r="C112" s="3" t="str">
        <f>HYPERLINK("https://transparencia-area-fim.mpce.mp.br/#/consulta/processo/pastadigital/092022000083885","09.2022.00008388-5")</f>
        <v>09.2022.00008388-5</v>
      </c>
      <c r="D112" s="4">
        <v>46077</v>
      </c>
      <c r="E112" s="16" t="str">
        <f>HYPERLINK("https://www8.mpce.mp.br/Empenhos/150001/Objeto/36-2023.pdf","EMPENHO REF. ALUGUEL DE IMÓVEL QUE ABRIGA PROMOTORIAS DE JUSTIÇA DA COMAR, CONF. CONTRATO 036/2023, REF. FEV E MAR/2026, POR ESTIMATIVA.")</f>
        <v>EMPENHO REF. ALUGUEL DE IMÓVEL QUE ABRIGA PROMOTORIAS DE JUSTIÇA DA COMAR, CONF. CONTRATO 036/2023, REF. FEV E MAR/2026, POR ESTIMATIVA.</v>
      </c>
      <c r="F112" s="2" t="s">
        <v>113</v>
      </c>
      <c r="G112" s="5" t="str">
        <f>HYPERLINK("https://siafe.sefaz.ce.gov.br/Siafe/downloadSignature?token=12a7c65cb58748cd96cbdb65b14b068b","2026NE000166")</f>
        <v>2026NE000166</v>
      </c>
      <c r="H112" s="6">
        <v>8209.1200000000008</v>
      </c>
      <c r="I112" s="7" t="s">
        <v>48</v>
      </c>
      <c r="J112" s="10" t="s">
        <v>147</v>
      </c>
      <c r="L112" s="13"/>
    </row>
    <row r="113" spans="1:12" ht="25.5" x14ac:dyDescent="0.25">
      <c r="A113" s="12" t="s">
        <v>122</v>
      </c>
      <c r="B113" s="2" t="s">
        <v>186</v>
      </c>
      <c r="C113" s="3" t="str">
        <f>HYPERLINK("https://transparencia-area-fim.mpce.mp.br/#/consulta/processo/pastadigital/092023000047305","09.2023.00004730-5")</f>
        <v>09.2023.00004730-5</v>
      </c>
      <c r="D113" s="4">
        <v>46059</v>
      </c>
      <c r="E113" s="16" t="str">
        <f>HYPERLINK("https://www8.mpce.mp.br/Empenhos/150001/Objeto/13-2023.pdf","ISBS DIGITAL, ISBS FISICO, CÓDIGO DE BARRAS E REGISTRO AUTORAL CONFORME CONTRATO 013/2023 .")</f>
        <v>ISBS DIGITAL, ISBS FISICO, CÓDIGO DE BARRAS E REGISTRO AUTORAL CONFORME CONTRATO 013/2023 .</v>
      </c>
      <c r="F113" s="2" t="s">
        <v>258</v>
      </c>
      <c r="G113" s="5" t="str">
        <f>HYPERLINK("https://siafe.sefaz.ce.gov.br/Siafe/downloadSignature?token=aabe6d88eb0a4491b3c1056117d1d5fb","2026NE000166")</f>
        <v>2026NE000166</v>
      </c>
      <c r="H113" s="6">
        <v>6424</v>
      </c>
      <c r="I113" s="7" t="s">
        <v>267</v>
      </c>
      <c r="J113" s="10" t="s">
        <v>268</v>
      </c>
      <c r="L113" s="13"/>
    </row>
    <row r="114" spans="1:12" ht="51" x14ac:dyDescent="0.25">
      <c r="A114" s="12" t="s">
        <v>111</v>
      </c>
      <c r="B114" s="2" t="s">
        <v>115</v>
      </c>
      <c r="C114" s="3" t="str">
        <f>HYPERLINK("https://transparencia-area-fim.mpce.mp.br/#/consulta/processo/pastadigital/092023000338563","09.2023.00033856-3")</f>
        <v>09.2023.00033856-3</v>
      </c>
      <c r="D114" s="4">
        <v>46078</v>
      </c>
      <c r="E114" s="16" t="str">
        <f>HYPERLINK("https://www8.mpce.mp.br/Empenhos/150001/Objeto/01-2024.pdf","EMPENHO REF. ALUGUEL DE IMÓVEL ONDE FUNCIONAM PROMOTORIAS DE JUSTIÇA DA COMARCA DE MORADA NOVA, CONF. CONTRATO 036/2024, REF. FEV E MAR/2026, POR ESTIMATIVA.")</f>
        <v>EMPENHO REF. ALUGUEL DE IMÓVEL ONDE FUNCIONAM PROMOTORIAS DE JUSTIÇA DA COMARCA DE MORADA NOVA, CONF. CONTRATO 036/2024, REF. FEV E MAR/2026, POR ESTIMATIVA.</v>
      </c>
      <c r="F114" s="2" t="s">
        <v>121</v>
      </c>
      <c r="G114" s="5" t="str">
        <f>HYPERLINK("https://siafe.sefaz.ce.gov.br/Siafe/downloadSignature?token=c0400b85346843c2a064e1db7f7e6160","2026NE000167")</f>
        <v>2026NE000167</v>
      </c>
      <c r="H114" s="6">
        <v>36775</v>
      </c>
      <c r="I114" s="7" t="s">
        <v>27</v>
      </c>
      <c r="J114" s="10" t="s">
        <v>134</v>
      </c>
      <c r="L114" s="13"/>
    </row>
    <row r="115" spans="1:12" ht="51" x14ac:dyDescent="0.25">
      <c r="A115" s="12" t="s">
        <v>111</v>
      </c>
      <c r="B115" s="2" t="s">
        <v>115</v>
      </c>
      <c r="C115" s="3" t="str">
        <f>HYPERLINK("http://www8.mpce.mp.br/Dispensa/2150720189.pdf","21507/2018-9")</f>
        <v>21507/2018-9</v>
      </c>
      <c r="D115" s="4">
        <v>46077</v>
      </c>
      <c r="E115" s="16" t="str">
        <f>HYPERLINK("https://www8.mpce.mp.br/Empenhos/150001/Objeto/51-2019.pdf","EMPENHO REF. ALUGUEL DE IMÓVEL QUE ABRIGA PROMOTORIAS DE JUSTIÇA DA COMARCA DE  VIÇOSA DO CEARÁ, CONF. CONTRATO 051/2019, REF. FEV E MAR/2026, POR ESTIMATIVA.")</f>
        <v>EMPENHO REF. ALUGUEL DE IMÓVEL QUE ABRIGA PROMOTORIAS DE JUSTIÇA DA COMARCA DE  VIÇOSA DO CEARÁ, CONF. CONTRATO 051/2019, REF. FEV E MAR/2026, POR ESTIMATIVA.</v>
      </c>
      <c r="F115" s="2" t="s">
        <v>113</v>
      </c>
      <c r="G115" s="5" t="str">
        <f>HYPERLINK("https://siafe.sefaz.ce.gov.br/Siafe/downloadSignature?token=6782234aa06540fabd794cb238ee2507","2026NE000168")</f>
        <v>2026NE000168</v>
      </c>
      <c r="H115" s="6">
        <v>6307.18</v>
      </c>
      <c r="I115" s="7" t="s">
        <v>90</v>
      </c>
      <c r="J115" s="10" t="s">
        <v>116</v>
      </c>
    </row>
    <row r="116" spans="1:12" ht="51" x14ac:dyDescent="0.25">
      <c r="A116" s="12" t="s">
        <v>111</v>
      </c>
      <c r="B116" s="2" t="s">
        <v>115</v>
      </c>
      <c r="C116" s="3" t="str">
        <f>HYPERLINK("http://www8.mpce.mp.br/Dispensa/4503020176.pdf","45030/2017-6")</f>
        <v>45030/2017-6</v>
      </c>
      <c r="D116" s="4">
        <v>46077</v>
      </c>
      <c r="E116" s="16" t="str">
        <f>HYPERLINK("https://www8.mpce.mp.br/Empenhos/150001/Objeto/74-2019.pdf","EMPENHO REF. ALUGUEL DE IMÓVEL QUE ABRIGA PROMOTORIAS DE JUSTIÇA DA COMARCA DE GRANJA-CE, CONF. CONTRATO 074/2019, REF. FEV E MAR/2026, POR ESTIMATIVA.")</f>
        <v>EMPENHO REF. ALUGUEL DE IMÓVEL QUE ABRIGA PROMOTORIAS DE JUSTIÇA DA COMARCA DE GRANJA-CE, CONF. CONTRATO 074/2019, REF. FEV E MAR/2026, POR ESTIMATIVA.</v>
      </c>
      <c r="F116" s="2" t="s">
        <v>117</v>
      </c>
      <c r="G116" s="5" t="str">
        <f>HYPERLINK("https://siafe.sefaz.ce.gov.br/Siafe/downloadSignature?token=e9d65431dc1c4899a3daa4938b15ea11","2026NE000169")</f>
        <v>2026NE000169</v>
      </c>
      <c r="H116" s="6">
        <v>4671.28</v>
      </c>
      <c r="I116" s="7" t="s">
        <v>88</v>
      </c>
      <c r="J116" s="10" t="s">
        <v>118</v>
      </c>
      <c r="L116" s="13"/>
    </row>
    <row r="117" spans="1:12" ht="51" x14ac:dyDescent="0.25">
      <c r="A117" s="12" t="s">
        <v>122</v>
      </c>
      <c r="B117" s="2" t="s">
        <v>146</v>
      </c>
      <c r="C117" s="3" t="str">
        <f>HYPERLINK("https://transparencia-area-fim.mpce.mp.br/#/consulta/processo/pastadigital/092024000240032","09.2024.00024003-2")</f>
        <v>09.2024.00024003-2</v>
      </c>
      <c r="D117" s="4">
        <v>46077</v>
      </c>
      <c r="E117" s="16" t="str">
        <f>HYPERLINK("https://www8.mpce.mp.br/Empenhos/150001/Objeto/93-2024.pdf","EMPENHO REF. ALUGUEL DE IMÓVEL ONDE FUNCIONAM PROMOTORIAS DE JUSTIÇA DA COMARCA DE IPU, CONF. CONTRATO 093/2024, REF. FEV E MAR/2026, POR ESTIMATIVA.")</f>
        <v>EMPENHO REF. ALUGUEL DE IMÓVEL ONDE FUNCIONAM PROMOTORIAS DE JUSTIÇA DA COMARCA DE IPU, CONF. CONTRATO 093/2024, REF. FEV E MAR/2026, POR ESTIMATIVA.</v>
      </c>
      <c r="F117" s="2" t="s">
        <v>113</v>
      </c>
      <c r="G117" s="5" t="str">
        <f>HYPERLINK("https://siafe.sefaz.ce.gov.br/Siafe/downloadSignature?token=27461c984f25417697706d80ea57afa3","2026NE000170")</f>
        <v>2026NE000170</v>
      </c>
      <c r="H117" s="6">
        <v>7634</v>
      </c>
      <c r="I117" s="7" t="s">
        <v>167</v>
      </c>
      <c r="J117" s="10" t="s">
        <v>168</v>
      </c>
      <c r="L117" s="13"/>
    </row>
    <row r="118" spans="1:12" ht="38.25" x14ac:dyDescent="0.25">
      <c r="A118" s="12" t="s">
        <v>111</v>
      </c>
      <c r="B118" s="2" t="s">
        <v>151</v>
      </c>
      <c r="C118" s="3" t="str">
        <f>HYPERLINK("http://www8.mpce.mp.br/Dispensa/4793720162.pdf","4793720162")</f>
        <v>4793720162</v>
      </c>
      <c r="D118" s="4">
        <v>46078</v>
      </c>
      <c r="E118" s="16" t="str">
        <f>HYPERLINK("https://www8.mpce.mp.br/Empenhos/150001/Objeto/14-2017.pdf","EMPENHO REF. ALUGUEL DE IMÓVEL ONDE FUNCIONAM ALMOXARIFADO E PATRIMÔNIO, CONF. CONTRATO 014/2017, REF. FEV E MAR/2026, POR ESTIMATIVA.")</f>
        <v>EMPENHO REF. ALUGUEL DE IMÓVEL ONDE FUNCIONAM ALMOXARIFADO E PATRIMÔNIO, CONF. CONTRATO 014/2017, REF. FEV E MAR/2026, POR ESTIMATIVA.</v>
      </c>
      <c r="F118" s="2" t="s">
        <v>121</v>
      </c>
      <c r="G118" s="5" t="str">
        <f>HYPERLINK("https://siafe.sefaz.ce.gov.br/Siafe/downloadSignature?token=c636e9210f624e9db6b205ed4d01bc7b","2026NE000171")</f>
        <v>2026NE000171</v>
      </c>
      <c r="H118" s="6">
        <v>54400</v>
      </c>
      <c r="I118" s="7" t="s">
        <v>30</v>
      </c>
      <c r="J118" s="10" t="s">
        <v>157</v>
      </c>
      <c r="L118" s="13"/>
    </row>
    <row r="119" spans="1:12" ht="51" x14ac:dyDescent="0.25">
      <c r="A119" s="12" t="s">
        <v>122</v>
      </c>
      <c r="B119" s="2" t="s">
        <v>146</v>
      </c>
      <c r="C119" s="3" t="str">
        <f>HYPERLINK("https://transparencia-area-fim.mpce.mp.br/#/consulta/processo/pastadigital/092024000115580","09.2024.00011558-0")</f>
        <v>09.2024.00011558-0</v>
      </c>
      <c r="D119" s="4">
        <v>46077</v>
      </c>
      <c r="E119" s="16" t="str">
        <f>HYPERLINK("https://www8.mpce.mp.br/Empenhos/150001/Objeto/16-2025.pdf","EMPENHO REF. ALUGUEL DE IMÓVEL ONDE FUNCIONAM PROMOTORIAS DE JUSTIÇA DA COMARCA DE NOVA RUSSAS, CONF. CONTRATO 016/2025, REF. FEV E MAR/2026, POR ESTIMATIVA.")</f>
        <v>EMPENHO REF. ALUGUEL DE IMÓVEL ONDE FUNCIONAM PROMOTORIAS DE JUSTIÇA DA COMARCA DE NOVA RUSSAS, CONF. CONTRATO 016/2025, REF. FEV E MAR/2026, POR ESTIMATIVA.</v>
      </c>
      <c r="F119" s="2" t="s">
        <v>113</v>
      </c>
      <c r="G119" s="5" t="str">
        <f>HYPERLINK("https://siafe.sefaz.ce.gov.br/Siafe/downloadSignature?token=f0fcdd474d9f4796bfcb9a985a2ce67a","2026NE000172")</f>
        <v>2026NE000172</v>
      </c>
      <c r="H119" s="6">
        <v>6553.96</v>
      </c>
      <c r="I119" s="7" t="s">
        <v>172</v>
      </c>
      <c r="J119" s="10" t="s">
        <v>173</v>
      </c>
      <c r="L119" s="13"/>
    </row>
    <row r="120" spans="1:12" ht="51" x14ac:dyDescent="0.25">
      <c r="A120" s="12" t="s">
        <v>111</v>
      </c>
      <c r="B120" s="2" t="s">
        <v>151</v>
      </c>
      <c r="C120" s="3" t="str">
        <f>HYPERLINK("https://transparencia-area-fim.mpce.mp.br/#/consulta/processo/pastadigital/092023000338552","09.2023.00033855-2")</f>
        <v>09.2023.00033855-2</v>
      </c>
      <c r="D120" s="4">
        <v>46078</v>
      </c>
      <c r="E120" s="16" t="str">
        <f>HYPERLINK("https://www8.mpce.mp.br/Empenhos/150001/Objeto/17-2024.pdf","EMPENHO REF. ALUGUEL DE IMÓVEL ONDE FUNCIONAM PROMOTORIAS DE JUSTIÇA DA COMARCA DE MARANGUAPE, CONF. CONTRATO 017/2024, REF. FEV E MAR/2026, POR ESTIMATIVA.")</f>
        <v>EMPENHO REF. ALUGUEL DE IMÓVEL ONDE FUNCIONAM PROMOTORIAS DE JUSTIÇA DA COMARCA DE MARANGUAPE, CONF. CONTRATO 017/2024, REF. FEV E MAR/2026, POR ESTIMATIVA.</v>
      </c>
      <c r="F120" s="2" t="s">
        <v>121</v>
      </c>
      <c r="G120" s="5" t="str">
        <f>HYPERLINK("https://siafe.sefaz.ce.gov.br/Siafe/downloadSignature?token=a8e4e8316aac492b8ce994b28713045f","2026NE000173")</f>
        <v>2026NE000173</v>
      </c>
      <c r="H120" s="6">
        <v>36000</v>
      </c>
      <c r="I120" s="7" t="s">
        <v>175</v>
      </c>
      <c r="J120" s="10" t="s">
        <v>176</v>
      </c>
      <c r="L120" s="13"/>
    </row>
    <row r="121" spans="1:12" ht="51" x14ac:dyDescent="0.25">
      <c r="A121" s="12" t="s">
        <v>111</v>
      </c>
      <c r="B121" s="2" t="s">
        <v>151</v>
      </c>
      <c r="C121" s="3" t="str">
        <f>HYPERLINK("https://transparencia-area-fim.mpce.mp.br/#/consulta/processo/pastadigital/092021000244282","09.2021.00024428-2")</f>
        <v>09.2021.00024428-2</v>
      </c>
      <c r="D121" s="4">
        <v>46078</v>
      </c>
      <c r="E121" s="16" t="str">
        <f>HYPERLINK("https://www8.mpce.mp.br/Empenhos/150001/Objeto/18-2022.pdf","EMPENHO REF. ALUGUEL DE IMÓVEL ONDE FUNCIONAM PROMOTORIAS DE JUSTIÇA DA COMARCA DE CRATEÚS, CONF. CONTRATO 018/2022, REF. FEV E MAR/2026, POR ESTIMATIVA.")</f>
        <v>EMPENHO REF. ALUGUEL DE IMÓVEL ONDE FUNCIONAM PROMOTORIAS DE JUSTIÇA DA COMARCA DE CRATEÚS, CONF. CONTRATO 018/2022, REF. FEV E MAR/2026, POR ESTIMATIVA.</v>
      </c>
      <c r="F121" s="2" t="s">
        <v>121</v>
      </c>
      <c r="G121" s="5" t="str">
        <f>HYPERLINK("https://siafe.sefaz.ce.gov.br/Siafe/downloadSignature?token=a488b5a912554902ab77b9ea52e85633","2026NE000174")</f>
        <v>2026NE000174</v>
      </c>
      <c r="H121" s="6">
        <v>53540</v>
      </c>
      <c r="I121" s="7" t="s">
        <v>21</v>
      </c>
      <c r="J121" s="10" t="s">
        <v>132</v>
      </c>
      <c r="L121" s="13"/>
    </row>
    <row r="122" spans="1:12" ht="51" x14ac:dyDescent="0.25">
      <c r="A122" s="12" t="s">
        <v>111</v>
      </c>
      <c r="B122" s="2" t="s">
        <v>151</v>
      </c>
      <c r="C122" s="3" t="str">
        <f>HYPERLINK("http://www8.mpce.mp.br/Dispensa/575920103.pdf","5759/2010-3")</f>
        <v>5759/2010-3</v>
      </c>
      <c r="D122" s="4">
        <v>46077</v>
      </c>
      <c r="E122" s="16" t="str">
        <f>HYPERLINK("https://www8.mpce.mp.br/Empenhos/150001/Objeto/22-2010.pdf","EMPENHO REF. ALUGUEL DE IMÓVEL ONDE FUNCIONAM PROMOTORIAS DE JUSTIÇA DA COMARCA DE GUAIÚBA, CONF. CONTRATO 022/2010, REF. FEV E MAR /2026, POR ESTIMATIVA.")</f>
        <v>EMPENHO REF. ALUGUEL DE IMÓVEL ONDE FUNCIONAM PROMOTORIAS DE JUSTIÇA DA COMARCA DE GUAIÚBA, CONF. CONTRATO 022/2010, REF. FEV E MAR /2026, POR ESTIMATIVA.</v>
      </c>
      <c r="F122" s="2" t="s">
        <v>113</v>
      </c>
      <c r="G122" s="5" t="str">
        <f>HYPERLINK("https://siafe.sefaz.ce.gov.br/Siafe/downloadSignature?token=ccda000c037c4d71bff2c0dd60fab2be","2026NE000175")</f>
        <v>2026NE000175</v>
      </c>
      <c r="H122" s="6">
        <v>4911.88</v>
      </c>
      <c r="I122" s="7" t="s">
        <v>82</v>
      </c>
      <c r="J122" s="10" t="s">
        <v>153</v>
      </c>
      <c r="L122" s="13"/>
    </row>
    <row r="123" spans="1:12" ht="51" x14ac:dyDescent="0.25">
      <c r="A123" s="12" t="s">
        <v>111</v>
      </c>
      <c r="B123" s="2" t="s">
        <v>151</v>
      </c>
      <c r="C123" s="3" t="str">
        <f>HYPERLINK("https://transparencia-area-fim.mpce.mp.br/#/consulta/processo/pastadigital/092021000166790","09.2021.00016679-0")</f>
        <v>09.2021.00016679-0</v>
      </c>
      <c r="D123" s="4">
        <v>46077</v>
      </c>
      <c r="E123" s="16" t="str">
        <f>HYPERLINK("https://www8.mpce.mp.br/Empenhos/150001/Objeto/24-2022.pdf","EMPENHO REF. ALUGUEL DE IMÓVEL ONDE FUNCIONAM PROMOTORIAS DE JUSTIÇA DA COMARCA DE HORIZONTE, CONF. CONTRATO 024/2022, REF. FEV E MAR/2026, POR ESTIMATIVA.")</f>
        <v>EMPENHO REF. ALUGUEL DE IMÓVEL ONDE FUNCIONAM PROMOTORIAS DE JUSTIÇA DA COMARCA DE HORIZONTE, CONF. CONTRATO 024/2022, REF. FEV E MAR/2026, POR ESTIMATIVA.</v>
      </c>
      <c r="F123" s="2" t="s">
        <v>113</v>
      </c>
      <c r="G123" s="5" t="str">
        <f>HYPERLINK("https://siafe.sefaz.ce.gov.br/Siafe/downloadSignature?token=9f522bb921dd4bf3ba40d7670055d1de","2026NE000176")</f>
        <v>2026NE000176</v>
      </c>
      <c r="H123" s="6">
        <v>5003.3999999999996</v>
      </c>
      <c r="I123" s="7" t="s">
        <v>35</v>
      </c>
      <c r="J123" s="10" t="s">
        <v>152</v>
      </c>
      <c r="L123" s="13"/>
    </row>
    <row r="124" spans="1:12" ht="51" x14ac:dyDescent="0.25">
      <c r="A124" s="12" t="s">
        <v>111</v>
      </c>
      <c r="B124" s="2" t="s">
        <v>151</v>
      </c>
      <c r="C124" s="3" t="str">
        <f>HYPERLINK("https://transparencia-area-fim.mpce.mp.br/#/consulta/processo/pastadigital/092022000343818","09.2022.00034381-8")</f>
        <v>09.2022.00034381-8</v>
      </c>
      <c r="D124" s="4">
        <v>46078</v>
      </c>
      <c r="E124" s="16" t="str">
        <f>HYPERLINK("https://www8.mpce.mp.br/Empenhos/150001/Objeto/24-2023.pdf","EMPENHO REF. ALUGUEL DE IMÓVEL ONDE FUNCIONAM PROMOTORIAS DE JUSTIÇA DA COMARCA DE ITAPIPOCA, CONF. CONTRATO 024/2023, REF. FEV E MAR/2026, POR ESTIMATIVA.")</f>
        <v>EMPENHO REF. ALUGUEL DE IMÓVEL ONDE FUNCIONAM PROMOTORIAS DE JUSTIÇA DA COMARCA DE ITAPIPOCA, CONF. CONTRATO 024/2023, REF. FEV E MAR/2026, POR ESTIMATIVA.</v>
      </c>
      <c r="F124" s="2" t="s">
        <v>121</v>
      </c>
      <c r="G124" s="5" t="str">
        <f>HYPERLINK("https://siafe.sefaz.ce.gov.br/Siafe/downloadSignature?token=06101dff5f7c475382d0c6f57973fae0","2026NE000177")</f>
        <v>2026NE000177</v>
      </c>
      <c r="H124" s="6">
        <v>37715.78</v>
      </c>
      <c r="I124" s="7" t="s">
        <v>76</v>
      </c>
      <c r="J124" s="10" t="s">
        <v>177</v>
      </c>
      <c r="L124" s="13"/>
    </row>
    <row r="125" spans="1:12" ht="51" x14ac:dyDescent="0.25">
      <c r="A125" s="12" t="s">
        <v>111</v>
      </c>
      <c r="B125" s="2" t="s">
        <v>269</v>
      </c>
      <c r="C125" s="3" t="str">
        <f>HYPERLINK("https://transparencia-area-fim.mpce.mp.br/#/consulta/processo/pastadigital/092024000382620","09.2024.00038262-0")</f>
        <v>09.2024.00038262-0</v>
      </c>
      <c r="D125" s="4">
        <v>46066</v>
      </c>
      <c r="E125" s="16" t="str">
        <f>HYPERLINK("https://www8.mpce.mp.br/Empenhos/150001/Objeto/02-2025.pdf","EMPENHO REF. SERVIÇOS DE SUPORTE E FORNECIMENTO DOS SERVIÇOS COMPUTACIONAIS DA PLATAFORMA GOOGLE MAPS., CONF. CONTRATO 002/2025, REF. JAN, FEV E MAR/2026, POR ESTIMATIVA.")</f>
        <v>EMPENHO REF. SERVIÇOS DE SUPORTE E FORNECIMENTO DOS SERVIÇOS COMPUTACIONAIS DA PLATAFORMA GOOGLE MAPS., CONF. CONTRATO 002/2025, REF. JAN, FEV E MAR/2026, POR ESTIMATIVA.</v>
      </c>
      <c r="F125" s="2" t="s">
        <v>257</v>
      </c>
      <c r="G125" s="5" t="str">
        <f>HYPERLINK("https://siafe.sefaz.ce.gov.br/Siafe/downloadSignature?token=386a9a09d81e4fd8a81f52d8618132c2","2026NE000184")</f>
        <v>2026NE000184</v>
      </c>
      <c r="H125" s="6">
        <v>900</v>
      </c>
      <c r="I125" s="7" t="s">
        <v>80</v>
      </c>
      <c r="J125" s="10" t="s">
        <v>270</v>
      </c>
      <c r="L125" s="13"/>
    </row>
    <row r="126" spans="1:12" ht="76.5" x14ac:dyDescent="0.25">
      <c r="A126" s="12" t="s">
        <v>111</v>
      </c>
      <c r="B126" s="2" t="s">
        <v>182</v>
      </c>
      <c r="C126" s="3" t="str">
        <f>HYPERLINK("https://transparencia-area-fim.mpce.mp.br/#/consulta/processo/pastadigital/092024000242263","09.2024.00024226-3")</f>
        <v>09.2024.00024226-3</v>
      </c>
      <c r="D126" s="4">
        <v>46065</v>
      </c>
      <c r="E126" s="16" t="str">
        <f>HYPERLINK("https://www8.mpce.mp.br/Empenhos/150001/Objeto/77-2024.pdf","EMPENHO REF. SERVIÇOS TÉCNICOS ESPECIALIZADOS, VISANDO A IMPLEMENTAÇÃO DA SOLUÇÃO DE TI - PLATAFORMA WHATSAPP BUSINESS, INCLUINDO A INSTALAÇÃO, ATUALIZAÇÕES E SUPORTE TÉCNICO, C"&amp;"ONF. CONTRATO 077/2024, REF. JAN/FEV/MAR /2026, POR ESTIMATIVA.")</f>
        <v>EMPENHO REF. SERVIÇOS TÉCNICOS ESPECIALIZADOS, VISANDO A IMPLEMENTAÇÃO DA SOLUÇÃO DE TI - PLATAFORMA WHATSAPP BUSINESS, INCLUINDO A INSTALAÇÃO, ATUALIZAÇÕES E SUPORTE TÉCNICO, CONF. CONTRATO 077/2024, REF. JAN/FEV/MAR /2026, POR ESTIMATIVA.</v>
      </c>
      <c r="F126" s="2" t="s">
        <v>271</v>
      </c>
      <c r="G126" s="5" t="str">
        <f>HYPERLINK("https://siafe.sefaz.ce.gov.br/Siafe/downloadSignature?token=985c32b8f9074e6ab56262a7fd8227d2","2026NE000184")</f>
        <v>2026NE000184</v>
      </c>
      <c r="H126" s="6">
        <v>12665.76</v>
      </c>
      <c r="I126" s="7" t="s">
        <v>272</v>
      </c>
      <c r="J126" s="10" t="s">
        <v>273</v>
      </c>
      <c r="L126" s="13"/>
    </row>
    <row r="127" spans="1:12" ht="51" x14ac:dyDescent="0.25">
      <c r="A127" s="12" t="s">
        <v>111</v>
      </c>
      <c r="B127" s="2" t="s">
        <v>158</v>
      </c>
      <c r="C127" s="3" t="str">
        <f>HYPERLINK("https://transparencia-area-fim.mpce.mp.br/#/consulta/processo/pastadigital/092022000120475","09.2022.00012047-5")</f>
        <v>09.2022.00012047-5</v>
      </c>
      <c r="D127" s="4">
        <v>46063</v>
      </c>
      <c r="E127" s="16" t="str">
        <f>HYPERLINK("https://www8.mpce.mp.br/Empenhos/150001/Objeto/54-2022.pdf","EMPENHO REF. SERVIÇOS DE CONSULTA DE DADOS CADASTRAIS DE ÂMBITO NACIONAL, VIA WEB SERVICE, CONF. CONTRATO 054/2022 -3º TERMO DE APOSTILAMENTO, REF. 2026, POR ESTIMATIVA")</f>
        <v>EMPENHO REF. SERVIÇOS DE CONSULTA DE DADOS CADASTRAIS DE ÂMBITO NACIONAL, VIA WEB SERVICE, CONF. CONTRATO 054/2022 -3º TERMO DE APOSTILAMENTO, REF. 2026, POR ESTIMATIVA</v>
      </c>
      <c r="F127" s="2" t="s">
        <v>274</v>
      </c>
      <c r="G127" s="5" t="str">
        <f>HYPERLINK("https://siafe.sefaz.ce.gov.br/Siafe/downloadSignature?token=088eb0ea5895445797024e297ed977dd","2026NE000186")</f>
        <v>2026NE000186</v>
      </c>
      <c r="H127" s="6">
        <v>18644.86</v>
      </c>
      <c r="I127" s="7" t="s">
        <v>275</v>
      </c>
      <c r="J127" s="10" t="s">
        <v>276</v>
      </c>
    </row>
    <row r="128" spans="1:12" ht="33.75" x14ac:dyDescent="0.25">
      <c r="A128" s="12" t="s">
        <v>122</v>
      </c>
      <c r="B128" s="2" t="s">
        <v>206</v>
      </c>
      <c r="C128" s="3" t="str">
        <f>HYPERLINK("https://transparencia-area-fim.mpce.mp.br/#/consulta/processo/pastadigital/092023000255300","09.2023.00025530-0")</f>
        <v>09.2023.00025530-0</v>
      </c>
      <c r="D128" s="4">
        <v>46066</v>
      </c>
      <c r="E128" s="16" t="str">
        <f>HYPERLINK("https://www8.mpce.mp.br/Empenhos/150001/Objeto/42-2024.pdf","EMPENHO REF. SISTEMA SAJ-MP "&amp;" GETF, CONF. CONTRATO 042/2024, REF. JAN E FEV/2026, POR ESTIMATIVA.")</f>
        <v>EMPENHO REF. SISTEMA SAJ-MP  GETF, CONF. CONTRATO 042/2024, REF. JAN E FEV/2026, POR ESTIMATIVA.</v>
      </c>
      <c r="F128" s="2" t="s">
        <v>257</v>
      </c>
      <c r="G128" s="5" t="str">
        <f>HYPERLINK("https://siafe.sefaz.ce.gov.br/Siafe/downloadSignature?token=42d83e85c03d49a4877da38b9382791f","2026NE000188")</f>
        <v>2026NE000188</v>
      </c>
      <c r="H128" s="6">
        <v>306856</v>
      </c>
      <c r="I128" s="7" t="s">
        <v>70</v>
      </c>
      <c r="J128" s="10" t="s">
        <v>207</v>
      </c>
      <c r="L128" s="13"/>
    </row>
    <row r="129" spans="1:12" ht="51" x14ac:dyDescent="0.25">
      <c r="A129" s="12" t="s">
        <v>111</v>
      </c>
      <c r="B129" s="2" t="s">
        <v>158</v>
      </c>
      <c r="C129" s="3" t="str">
        <f>HYPERLINK("https://transparencia-area-fim.mpce.mp.br/#/consulta/processo/pastadigital/092022000264193","09.2022.00026419-3")</f>
        <v>09.2022.00026419-3</v>
      </c>
      <c r="D129" s="4">
        <v>46077</v>
      </c>
      <c r="E129" s="16" t="str">
        <f>HYPERLINK("https://www8.mpce.mp.br/Empenhos/150001/Objeto/28-2022.pdf","EMPENHO REF. ALUGUEL DE IMÓVEL ONDE FUNCIONAM PROMOTORIAS DE JUSTIÇA DA COMARCA DE AURORA, CONF. CONTRATO 028/2022, REF. FEV E MAR/2026, POR ESTIMATIVA.")</f>
        <v>EMPENHO REF. ALUGUEL DE IMÓVEL ONDE FUNCIONAM PROMOTORIAS DE JUSTIÇA DA COMARCA DE AURORA, CONF. CONTRATO 028/2022, REF. FEV E MAR/2026, POR ESTIMATIVA.</v>
      </c>
      <c r="F129" s="2" t="s">
        <v>113</v>
      </c>
      <c r="G129" s="5" t="str">
        <f>HYPERLINK("https://siafe.sefaz.ce.gov.br/Siafe/downloadSignature?token=5d25d8c7525b40f69f1d37718b7cdf8a","2026NE000190")</f>
        <v>2026NE000190</v>
      </c>
      <c r="H129" s="6">
        <v>4166.3999999999996</v>
      </c>
      <c r="I129" s="7" t="s">
        <v>180</v>
      </c>
      <c r="J129" s="10" t="s">
        <v>181</v>
      </c>
    </row>
    <row r="130" spans="1:12" ht="51" x14ac:dyDescent="0.25">
      <c r="A130" s="12" t="s">
        <v>111</v>
      </c>
      <c r="B130" s="2" t="s">
        <v>115</v>
      </c>
      <c r="C130" s="3" t="str">
        <f>HYPERLINK("https://transparencia-area-fim.mpce.mp.br/#/consulta/processo/pastadigital/092021000047808","09.2021.00004780-8")</f>
        <v>09.2021.00004780-8</v>
      </c>
      <c r="D130" s="4">
        <v>46077</v>
      </c>
      <c r="E130" s="16" t="str">
        <f>HYPERLINK("https://www8.mpce.mp.br/Empenhos/150001/Objeto/25-2021.pdf","EMPENHO REF. ALUGUEL DE IMÓVEL ONDE FUNCIONAM PROMOTORIAS DE JUSTIÇA DA COMARCA DE ALTO SANTO, CONF. CONTRATO 025/2021, REF. FEV E MAR/2026, POR ESTIMATIVA.")</f>
        <v>EMPENHO REF. ALUGUEL DE IMÓVEL ONDE FUNCIONAM PROMOTORIAS DE JUSTIÇA DA COMARCA DE ALTO SANTO, CONF. CONTRATO 025/2021, REF. FEV E MAR/2026, POR ESTIMATIVA.</v>
      </c>
      <c r="F130" s="2" t="s">
        <v>113</v>
      </c>
      <c r="G130" s="5" t="str">
        <f>HYPERLINK("https://siafe.sefaz.ce.gov.br/Siafe/downloadSignature?token=ef165ec533b14eb7a38ec5236963fdba","2026NE000191")</f>
        <v>2026NE000191</v>
      </c>
      <c r="H130" s="6">
        <v>3302.3</v>
      </c>
      <c r="I130" s="7" t="s">
        <v>130</v>
      </c>
      <c r="J130" s="10" t="s">
        <v>131</v>
      </c>
      <c r="L130" s="13"/>
    </row>
    <row r="131" spans="1:12" ht="51" x14ac:dyDescent="0.25">
      <c r="A131" s="12" t="s">
        <v>111</v>
      </c>
      <c r="B131" s="2" t="s">
        <v>158</v>
      </c>
      <c r="C131" s="3" t="str">
        <f>HYPERLINK("https://transparencia-area-fim.mpce.mp.br/#/consulta/processo/pastadigital/092021000155016","09.2021.00015501-6")</f>
        <v>09.2021.00015501-6</v>
      </c>
      <c r="D131" s="4">
        <v>46078</v>
      </c>
      <c r="E131" s="16" t="str">
        <f>HYPERLINK("https://www8.mpce.mp.br/Empenhos/150001/Objeto/26-2021.pdf","EMPENHO REF. ALUGUEL DE IMÓVEL ONDE FUNCIONAM PROMOTORIAS DE JUSTIÇA DA COMARCA DE BREJO SANTO, CONF. CONTRATO 026/2021, REF. FEV E MAR/2026, POR ESTIMATIVA.")</f>
        <v>EMPENHO REF. ALUGUEL DE IMÓVEL ONDE FUNCIONAM PROMOTORIAS DE JUSTIÇA DA COMARCA DE BREJO SANTO, CONF. CONTRATO 026/2021, REF. FEV E MAR/2026, POR ESTIMATIVA.</v>
      </c>
      <c r="F131" s="2" t="s">
        <v>113</v>
      </c>
      <c r="G131" s="5" t="str">
        <f>HYPERLINK("https://siafe.sefaz.ce.gov.br/Siafe/downloadSignature?token=12439776f2554daaad77149ea7a32b29","2026NE000192")</f>
        <v>2026NE000192</v>
      </c>
      <c r="H131" s="6">
        <v>5203.1000000000004</v>
      </c>
      <c r="I131" s="7" t="s">
        <v>38</v>
      </c>
      <c r="J131" s="10" t="s">
        <v>179</v>
      </c>
      <c r="L131" s="13"/>
    </row>
    <row r="132" spans="1:12" ht="51" x14ac:dyDescent="0.25">
      <c r="A132" s="12" t="s">
        <v>111</v>
      </c>
      <c r="B132" s="2" t="s">
        <v>115</v>
      </c>
      <c r="C132" s="3" t="str">
        <f>HYPERLINK("https://transparencia-area-fim.mpce.mp.br/#/consulta/processo/pastadigital/092021000079244","09.2021.00007924-4")</f>
        <v>09.2021.00007924-4</v>
      </c>
      <c r="D132" s="4">
        <v>46066</v>
      </c>
      <c r="E132" s="16" t="str">
        <f>HYPERLINK("https://www8.mpce.mp.br/Empenhos/150001/Objeto/27-2021.pdf","EMPENHO REF. TAXAS CONDOMINIAIS DE IMÓVEL ONDE FUNCIONAM PROMOTORIAS DE JUSTIÇA DA COMARCA DE EUSÉBIO, CONF. CONTRATO 027/2021, REF. FEV E MAR/2026, POR ESTIMATIVA.")</f>
        <v>EMPENHO REF. TAXAS CONDOMINIAIS DE IMÓVEL ONDE FUNCIONAM PROMOTORIAS DE JUSTIÇA DA COMARCA DE EUSÉBIO, CONF. CONTRATO 027/2021, REF. FEV E MAR/2026, POR ESTIMATIVA.</v>
      </c>
      <c r="F132" s="2" t="s">
        <v>119</v>
      </c>
      <c r="G132" s="5" t="str">
        <f>HYPERLINK("https://siafe.sefaz.ce.gov.br/Siafe/downloadSignature?token=c2bcf9969048480d803560a32a4fe85b","2026NE000193")</f>
        <v>2026NE000193</v>
      </c>
      <c r="H132" s="6">
        <v>3377.16</v>
      </c>
      <c r="I132" s="7" t="s">
        <v>42</v>
      </c>
      <c r="J132" s="10" t="s">
        <v>120</v>
      </c>
    </row>
    <row r="133" spans="1:12" ht="102" x14ac:dyDescent="0.25">
      <c r="A133" s="12" t="s">
        <v>122</v>
      </c>
      <c r="B133" s="2" t="s">
        <v>146</v>
      </c>
      <c r="C133" s="3" t="str">
        <f>HYPERLINK("https://transparencia-area-fim.mpce.mp.br/#/consulta/processo/pastadigital/092025000227700","09.2025.00022770-0")</f>
        <v>09.2025.00022770-0</v>
      </c>
      <c r="D133" s="4">
        <v>46065</v>
      </c>
      <c r="E133" s="16" t="str">
        <f>HYPERLINK("https://www8.mpce.mp.br/Empenhos/150001/Objeto/45-2025.pdf","EMPENHO REF. ANÁLISES FÍSICO QUÍMICAS EM AMOSTRAS DE COMBUSTÍVEIS (GASOLINA, ÓLEO DIESEL E ETANOL) PARA VERIFICAÇÃO DA QUALIDADE DE ACORDO COM AS ESPECIFICAÇÕES DAS RESOLUÇÕES D"&amp;"A AGÊNCIA NACIONAL DO PETRÓLEO, GÁS NATURAL E BIOCOMBUSTÍVEIS, CONF.  CONTRATO Nº 045/2025/PGJ E DA PROPOSTA ASTEF Nº 011/2026, REF. FEV A ABRIL/2026, POR ESTIMATIVA.")</f>
        <v>EMPENHO REF. ANÁLISES FÍSICO QUÍMICAS EM AMOSTRAS DE COMBUSTÍVEIS (GASOLINA, ÓLEO DIESEL E ETANOL) PARA VERIFICAÇÃO DA QUALIDADE DE ACORDO COM AS ESPECIFICAÇÕES DAS RESOLUÇÕES DA AGÊNCIA NACIONAL DO PETRÓLEO, GÁS NATURAL E BIOCOMBUSTÍVEIS, CONF.  CONTRATO Nº 045/2025/PGJ E DA PROPOSTA ASTEF Nº 011/2026, REF. FEV A ABRIL/2026, POR ESTIMATIVA.</v>
      </c>
      <c r="F133" s="2" t="s">
        <v>258</v>
      </c>
      <c r="G133" s="5" t="str">
        <f>HYPERLINK("https://siafe.sefaz.ce.gov.br/Siafe/downloadSignature?token=16ad6c047ba2498aa66eb776f7e816b1","2026NE000211")</f>
        <v>2026NE000211</v>
      </c>
      <c r="H133" s="6">
        <v>16907.5</v>
      </c>
      <c r="I133" s="7" t="s">
        <v>34</v>
      </c>
      <c r="J133" s="10" t="s">
        <v>264</v>
      </c>
      <c r="L133" s="13"/>
    </row>
    <row r="134" spans="1:12" ht="51" x14ac:dyDescent="0.25">
      <c r="A134" s="12" t="s">
        <v>111</v>
      </c>
      <c r="B134" s="2" t="s">
        <v>151</v>
      </c>
      <c r="C134" s="3" t="str">
        <f>HYPERLINK("http://www8.mpce.mp.br/Dispensa/842220170.pdf","8422/20170")</f>
        <v>8422/20170</v>
      </c>
      <c r="D134" s="4">
        <v>46076</v>
      </c>
      <c r="E134" s="16" t="str">
        <f>HYPERLINK("https://www8.mpce.mp.br/Empenhos/150001/Objeto/16-2017.pdf","EMPENHO REF. EMPENHO DAS PARCELAS DE IPTU/2026 ONDE FUNCIONAM PROMOTORIAS DE JUSTIÇA DA COMARCA CRIMINAIS DE FORTALEZA, REF. 1ª PARCELA DE 2026, CONF. CONTRATO 016/2017, POR EST"&amp;"IMATIVA.")</f>
        <v>EMPENHO REF. EMPENHO DAS PARCELAS DE IPTU/2026 ONDE FUNCIONAM PROMOTORIAS DE JUSTIÇA DA COMARCA CRIMINAIS DE FORTALEZA, REF. 1ª PARCELA DE 2026, CONF. CONTRATO 016/2017, POR ESTIMATIVA.</v>
      </c>
      <c r="F134" s="2" t="s">
        <v>121</v>
      </c>
      <c r="G134" s="5" t="str">
        <f>HYPERLINK("https://siafe.sefaz.ce.gov.br/Siafe/downloadSignature?token=73e5ec784fa7475db303bf9c7e53066c","2026NE000223")</f>
        <v>2026NE000223</v>
      </c>
      <c r="H134" s="6">
        <v>2863.29</v>
      </c>
      <c r="I134" s="7" t="s">
        <v>29</v>
      </c>
      <c r="J134" s="10" t="s">
        <v>154</v>
      </c>
    </row>
    <row r="135" spans="1:12" ht="38.25" x14ac:dyDescent="0.25">
      <c r="A135" s="12" t="s">
        <v>111</v>
      </c>
      <c r="B135" s="2" t="s">
        <v>159</v>
      </c>
      <c r="C135" s="3" t="str">
        <f>HYPERLINK("https://transparencia-area-fim.mpce.mp.br/#/consulta/processo/pastadigital/092024000367240","09.2024.00036724-0")</f>
        <v>09.2024.00036724-0</v>
      </c>
      <c r="D135" s="4">
        <v>46078</v>
      </c>
      <c r="E135" s="16" t="str">
        <f>HYPERLINK("https://www8.mpce.mp.br/Empenhos/150001/Objeto/01-2024.pdf","EMPENHO REF. SERVIÇOS TÉCNICOS ESPECIALIZADOS SOB DEMANDA, CONF. CONTRATO 101/2024, REF. JAN E FEV/MARÇ2026, POR ESTIMATIVA.")</f>
        <v>EMPENHO REF. SERVIÇOS TÉCNICOS ESPECIALIZADOS SOB DEMANDA, CONF. CONTRATO 101/2024, REF. JAN E FEV/MARÇ2026, POR ESTIMATIVA.</v>
      </c>
      <c r="F135" s="2" t="s">
        <v>277</v>
      </c>
      <c r="G135" s="5" t="str">
        <f>HYPERLINK("https://siafe.sefaz.ce.gov.br/Siafe/downloadSignature?token=ee5dbebeda4945079310215b700f8351","2026NE000240")</f>
        <v>2026NE000240</v>
      </c>
      <c r="H135" s="6">
        <v>210192.66</v>
      </c>
      <c r="I135" s="7" t="s">
        <v>50</v>
      </c>
      <c r="J135" s="10" t="s">
        <v>184</v>
      </c>
      <c r="L135" s="13"/>
    </row>
    <row r="136" spans="1:12" ht="51" x14ac:dyDescent="0.25">
      <c r="A136" s="12" t="s">
        <v>111</v>
      </c>
      <c r="B136" s="2" t="s">
        <v>158</v>
      </c>
      <c r="C136" s="3" t="str">
        <f>HYPERLINK("https://transparencia-area-fim.mpce.mp.br/#/consulta/processo/pastadigital/092021000244271","09.2021.00024427-1")</f>
        <v>09.2021.00024427-1</v>
      </c>
      <c r="D136" s="4">
        <v>46078</v>
      </c>
      <c r="E136" s="16" t="str">
        <f>HYPERLINK("https://www8.mpce.mp.br/Empenhos/150001/Objeto/17-2022.pdf","LOCAÇÃO DO IMÓVEL ONDE FUNCIONAM AS PROMOTORIAS DE TIANGUÁ-CE, CONFORME SOLICITAÇÃO DO GESTOR, PARA CONTEMPLAR OS MESES DE FEV/MARÇO 2026, POR ESTIMATIVA.")</f>
        <v>LOCAÇÃO DO IMÓVEL ONDE FUNCIONAM AS PROMOTORIAS DE TIANGUÁ-CE, CONFORME SOLICITAÇÃO DO GESTOR, PARA CONTEMPLAR OS MESES DE FEV/MARÇO 2026, POR ESTIMATIVA.</v>
      </c>
      <c r="F136" s="2" t="s">
        <v>121</v>
      </c>
      <c r="G136" s="5" t="str">
        <f>HYPERLINK("https://siafe.sefaz.ce.gov.br/Siafe/downloadSignature?token=9e9ed20f6a744b59a18247a3364a8c61","2026NE000249")</f>
        <v>2026NE000249</v>
      </c>
      <c r="H136" s="6">
        <v>52000</v>
      </c>
      <c r="I136" s="7" t="s">
        <v>22</v>
      </c>
      <c r="J136" s="10" t="s">
        <v>174</v>
      </c>
      <c r="L136" s="13"/>
    </row>
    <row r="137" spans="1:12" ht="51" x14ac:dyDescent="0.25">
      <c r="A137" s="12" t="s">
        <v>122</v>
      </c>
      <c r="B137" s="2" t="s">
        <v>245</v>
      </c>
      <c r="C137" s="3" t="str">
        <f>HYPERLINK("https://transparencia-area-fim.mpce.mp.br/#/consulta/processo/pastadigital/092023000385590","09.2023.00038559-0")</f>
        <v>09.2023.00038559-0</v>
      </c>
      <c r="D137" s="4">
        <v>46079</v>
      </c>
      <c r="E137" s="16" t="str">
        <f>HYPERLINK("https://www8.mpce.mp.br/Empenhos/150001/Objeto/25-2024.pdf","LICENÇAS DE ACESSO ÁS PLATAFORMAS DE SAÚDE FÍSICA WELLHUB E MENAL WELLZ PARA MEMBROS E SERVIDORES DO MP-CE, POR ESTIMATIVA E PARA FEV E MAR/2026, CONFORME CONTRATO 025/2024.")</f>
        <v>LICENÇAS DE ACESSO ÁS PLATAFORMAS DE SAÚDE FÍSICA WELLHUB E MENAL WELLZ PARA MEMBROS E SERVIDORES DO MP-CE, POR ESTIMATIVA E PARA FEV E MAR/2026, CONFORME CONTRATO 025/2024.</v>
      </c>
      <c r="F137" s="2" t="s">
        <v>246</v>
      </c>
      <c r="G137" s="5" t="str">
        <f>HYPERLINK("https://siafe.sefaz.ce.gov.br/Siafe/downloadSignature?token=a3001d8c1e584c5babee2e065657c2c4","2026NE000251")</f>
        <v>2026NE000251</v>
      </c>
      <c r="H137" s="6">
        <v>107696.68</v>
      </c>
      <c r="I137" s="7" t="s">
        <v>55</v>
      </c>
      <c r="J137" s="10" t="s">
        <v>247</v>
      </c>
      <c r="L137" s="13"/>
    </row>
    <row r="138" spans="1:12" ht="51" x14ac:dyDescent="0.25">
      <c r="A138" s="12" t="s">
        <v>111</v>
      </c>
      <c r="B138" s="2" t="s">
        <v>115</v>
      </c>
      <c r="C138" s="3" t="str">
        <f>HYPERLINK("https://transparencia-area-fim.mpce.mp.br/#/consulta/processo/pastadigital/092022000230870","09.2022.00023087-0")</f>
        <v>09.2022.00023087-0</v>
      </c>
      <c r="D138" s="4">
        <v>46079</v>
      </c>
      <c r="E138" s="16" t="str">
        <f>HYPERLINK("https://www8.mpce.mp.br/Empenhos/150001/Objeto/29-2022.pdf","EMPENHO REF. ALUGUEL DE IMÓVEL ONDE FUNCIONAM PROMOTORIAS DE JUSTIÇA DA COMARCA DE JUAZEIRO DO NORTE, CONF. CONTRATO 029/2022, REF. FEV E MAR/2026, POR ESTIMATIVA.")</f>
        <v>EMPENHO REF. ALUGUEL DE IMÓVEL ONDE FUNCIONAM PROMOTORIAS DE JUSTIÇA DA COMARCA DE JUAZEIRO DO NORTE, CONF. CONTRATO 029/2022, REF. FEV E MAR/2026, POR ESTIMATIVA.</v>
      </c>
      <c r="F138" s="2" t="s">
        <v>121</v>
      </c>
      <c r="G138" s="5" t="str">
        <f>HYPERLINK("https://siafe.sefaz.ce.gov.br/Siafe/downloadSignature?token=c3db8d8105344069a6479e003d2fdbf8","2026NE000253")</f>
        <v>2026NE000253</v>
      </c>
      <c r="H138" s="6">
        <v>141435.48000000001</v>
      </c>
      <c r="I138" s="7" t="s">
        <v>20</v>
      </c>
      <c r="J138" s="10" t="s">
        <v>135</v>
      </c>
      <c r="L138" s="13"/>
    </row>
    <row r="139" spans="1:12" ht="51" x14ac:dyDescent="0.25">
      <c r="A139" s="12" t="s">
        <v>111</v>
      </c>
      <c r="B139" s="2" t="s">
        <v>151</v>
      </c>
      <c r="C139" s="3" t="str">
        <f>HYPERLINK("https://transparencia-area-fim.mpce.mp.br/#/consulta/processo/pastadigital/092022000081432","09.2022.00008143-2")</f>
        <v>09.2022.00008143-2</v>
      </c>
      <c r="D139" s="4">
        <v>46079</v>
      </c>
      <c r="E139" s="16" t="str">
        <f>HYPERLINK("https://www8.mpce.mp.br/Empenhos/150001/Objeto/16-2022.pdf","EMPENHO REF. ALUGUEL DE IMÓVEL ONDE FUNCIONAM PROMOTORIAS DE JUSTIÇA DA COMARCA DE BARBALHA, CONF. CONTRATO 016/2022, REF. FEV E MAR/2026, POR ESTIMATIVA.")</f>
        <v>EMPENHO REF. ALUGUEL DE IMÓVEL ONDE FUNCIONAM PROMOTORIAS DE JUSTIÇA DA COMARCA DE BARBALHA, CONF. CONTRATO 016/2022, REF. FEV E MAR/2026, POR ESTIMATIVA.</v>
      </c>
      <c r="F139" s="2" t="s">
        <v>121</v>
      </c>
      <c r="G139" s="5" t="str">
        <f>HYPERLINK("https://siafe.sefaz.ce.gov.br/Siafe/downloadSignature?token=1d9e86a8d83340f393aea1a0bc97f854","2026NE000254")</f>
        <v>2026NE000254</v>
      </c>
      <c r="H139" s="6">
        <v>34686.14</v>
      </c>
      <c r="I139" s="7" t="s">
        <v>20</v>
      </c>
      <c r="J139" s="10" t="s">
        <v>135</v>
      </c>
      <c r="L139" s="13"/>
    </row>
    <row r="140" spans="1:12" ht="51" x14ac:dyDescent="0.25">
      <c r="A140" s="12" t="s">
        <v>111</v>
      </c>
      <c r="B140" s="2" t="s">
        <v>141</v>
      </c>
      <c r="C140" s="3" t="str">
        <f>HYPERLINK("https://transparencia-area-fim.mpce.mp.br/#/consulta/processo/pastadigital/092021000065217","09.2021.00006521-7")</f>
        <v>09.2021.00006521-7</v>
      </c>
      <c r="D140" s="4">
        <v>46079</v>
      </c>
      <c r="E140" s="16" t="str">
        <f>HYPERLINK("https://www8.mpce.mp.br/Empenhos/150001/Objeto/38-2021.pdf","EMPENHO REF. ALUGUEL DE IMÓVEL ONDE FUNCIONAM PROMOTORIAS DE JUSTIÇA DA COMARCA DE TAUÁ, CONF. CONTRATO 038/2021, REF. FEV E MAR/2026, POR ESTIMATIVA.")</f>
        <v>EMPENHO REF. ALUGUEL DE IMÓVEL ONDE FUNCIONAM PROMOTORIAS DE JUSTIÇA DA COMARCA DE TAUÁ, CONF. CONTRATO 038/2021, REF. FEV E MAR/2026, POR ESTIMATIVA.</v>
      </c>
      <c r="F140" s="2" t="s">
        <v>121</v>
      </c>
      <c r="G140" s="5" t="str">
        <f>HYPERLINK("https://siafe.sefaz.ce.gov.br/Siafe/downloadSignature?token=adc1cdec101c4c7fb3252b33d7155ca5","2026NE000255")</f>
        <v>2026NE000255</v>
      </c>
      <c r="H140" s="6">
        <v>39009.599999999999</v>
      </c>
      <c r="I140" s="7" t="s">
        <v>26</v>
      </c>
      <c r="J140" s="10" t="s">
        <v>142</v>
      </c>
      <c r="L140" s="13"/>
    </row>
    <row r="141" spans="1:12" ht="51" x14ac:dyDescent="0.25">
      <c r="A141" s="12" t="s">
        <v>111</v>
      </c>
      <c r="B141" s="2" t="s">
        <v>151</v>
      </c>
      <c r="C141" s="3" t="str">
        <f>HYPERLINK("https://transparencia-area-fim.mpce.mp.br/#/consulta/processo/pastadigital/092022000343829","09.2022.00034382-9")</f>
        <v>09.2022.00034382-9</v>
      </c>
      <c r="D141" s="4">
        <v>46079</v>
      </c>
      <c r="E141" s="16" t="str">
        <f>HYPERLINK("https://www8.mpce.mp.br/Empenhos/150001/Objeto/10-2023.pdf","EMPENHO REF. ALUGUEL DE IMÓVEL ONDE FUNCIONAM PROMOTORIAS DE JUSTIÇA DA COMARCA DE ITAPAJÉ, CONF. CONTRATO 010/2023, REF. FEV E MAR/2026, POR ESTIMATIVA.")</f>
        <v>EMPENHO REF. ALUGUEL DE IMÓVEL ONDE FUNCIONAM PROMOTORIAS DE JUSTIÇA DA COMARCA DE ITAPAJÉ, CONF. CONTRATO 010/2023, REF. FEV E MAR/2026, POR ESTIMATIVA.</v>
      </c>
      <c r="F141" s="2" t="s">
        <v>121</v>
      </c>
      <c r="G141" s="5" t="str">
        <f>HYPERLINK("https://siafe.sefaz.ce.gov.br/Siafe/downloadSignature?token=399ab3d39c4740c7b3a6d93b31e15148","2026NE000256")</f>
        <v>2026NE000256</v>
      </c>
      <c r="H141" s="6">
        <v>28519.279999999999</v>
      </c>
      <c r="I141" s="7" t="s">
        <v>169</v>
      </c>
      <c r="J141" s="10" t="s">
        <v>170</v>
      </c>
      <c r="L141" s="13"/>
    </row>
    <row r="142" spans="1:12" ht="51" x14ac:dyDescent="0.25">
      <c r="A142" s="12" t="s">
        <v>111</v>
      </c>
      <c r="B142" s="2" t="s">
        <v>141</v>
      </c>
      <c r="C142" s="3" t="str">
        <f>HYPERLINK("https://transparencia-area-fim.mpce.mp.br/#/consulta/processo/pastadigital/092021000064195","09.2021.00006419-5")</f>
        <v>09.2021.00006419-5</v>
      </c>
      <c r="D142" s="4">
        <v>46079</v>
      </c>
      <c r="E142" s="16" t="str">
        <f>HYPERLINK("https://www8.mpce.mp.br/Empenhos/150001/Objeto/41-2021.pdf","EMPENHO REF. ALUGUEL DE IMÓVEL ONDE FUNCIONAM PROMOTORIAS DE JUSTIÇA DA COMARCA DE QUIXADÁ, CONF. CONTRATO 041/2021, REF. FEV E MAR/2026, POR ESTIMATIVA.")</f>
        <v>EMPENHO REF. ALUGUEL DE IMÓVEL ONDE FUNCIONAM PROMOTORIAS DE JUSTIÇA DA COMARCA DE QUIXADÁ, CONF. CONTRATO 041/2021, REF. FEV E MAR/2026, POR ESTIMATIVA.</v>
      </c>
      <c r="F142" s="2" t="s">
        <v>121</v>
      </c>
      <c r="G142" s="5" t="str">
        <f>HYPERLINK("https://siafe.sefaz.ce.gov.br/Siafe/downloadSignature?token=785166d54b0c47fe91315bf9fd1fd792","2026NE000257")</f>
        <v>2026NE000257</v>
      </c>
      <c r="H142" s="6">
        <v>38726.14</v>
      </c>
      <c r="I142" s="7" t="s">
        <v>144</v>
      </c>
      <c r="J142" s="10" t="s">
        <v>145</v>
      </c>
      <c r="L142" s="13"/>
    </row>
    <row r="143" spans="1:12" ht="51" x14ac:dyDescent="0.25">
      <c r="A143" s="12" t="s">
        <v>111</v>
      </c>
      <c r="B143" s="2" t="s">
        <v>115</v>
      </c>
      <c r="C143" s="3" t="str">
        <f>HYPERLINK("https://transparencia-area-fim.mpce.mp.br/#/consulta/processo/pastadigital/092023000338563","09.2023.00033856-3")</f>
        <v>09.2023.00033856-3</v>
      </c>
      <c r="D143" s="4">
        <v>46079</v>
      </c>
      <c r="E143" s="16" t="str">
        <f>HYPERLINK("https://www8.mpce.mp.br/Empenhos/150001/Objeto/01-2024.pdf","EMPENHO REF. ALUGUEL DE IMÓVEL ONDE FUNCIONAM PROMOTORIAS DE JUSTIÇA DA COMARCA DE AQUIRAZ, CONF. CONTRATO 001/2024, REF. FEV E MAR/2026, POR ESTIMATIVA.")</f>
        <v>EMPENHO REF. ALUGUEL DE IMÓVEL ONDE FUNCIONAM PROMOTORIAS DE JUSTIÇA DA COMARCA DE AQUIRAZ, CONF. CONTRATO 001/2024, REF. FEV E MAR/2026, POR ESTIMATIVA.</v>
      </c>
      <c r="F143" s="2" t="s">
        <v>121</v>
      </c>
      <c r="G143" s="5" t="str">
        <f>HYPERLINK("https://siafe.sefaz.ce.gov.br/Siafe/downloadSignature?token=7ce9e83e97394f56a6b22e7a1892d3c6","2026NE000259")</f>
        <v>2026NE000259</v>
      </c>
      <c r="H143" s="6">
        <v>34464</v>
      </c>
      <c r="I143" s="7" t="s">
        <v>27</v>
      </c>
      <c r="J143" s="10" t="s">
        <v>134</v>
      </c>
      <c r="L143" s="13"/>
    </row>
    <row r="144" spans="1:12" ht="51" x14ac:dyDescent="0.25">
      <c r="A144" s="12" t="s">
        <v>111</v>
      </c>
      <c r="B144" s="2" t="s">
        <v>151</v>
      </c>
      <c r="C144" s="3" t="str">
        <f>HYPERLINK("https://transparencia-area-fim.mpce.mp.br/#/consulta/processo/pastadigital/092021000244449","09.2021.00024444-9")</f>
        <v>09.2021.00024444-9</v>
      </c>
      <c r="D144" s="4">
        <v>46079</v>
      </c>
      <c r="E144" s="16" t="str">
        <f>HYPERLINK("https://www8.mpce.mp.br/Empenhos/150001/Objeto/12-2022.pdf","EMPENHO REF. ALUGUEL DE IMÓVEL ONDE FUNCIONAM PROMOTORIAS DE JUSTIÇA DA COMARCA DE RUSSAS, CONF. CONTRATO 012/2022, REF. FEV E MAR/2026, POR ESTIMATIVA.")</f>
        <v>EMPENHO REF. ALUGUEL DE IMÓVEL ONDE FUNCIONAM PROMOTORIAS DE JUSTIÇA DA COMARCA DE RUSSAS, CONF. CONTRATO 012/2022, REF. FEV E MAR/2026, POR ESTIMATIVA.</v>
      </c>
      <c r="F144" s="2" t="s">
        <v>121</v>
      </c>
      <c r="G144" s="5" t="str">
        <f>HYPERLINK("https://siafe.sefaz.ce.gov.br/Siafe/downloadSignature?token=9f96d008e719463fbc468662a08dac7d","2026NE000260")</f>
        <v>2026NE000260</v>
      </c>
      <c r="H144" s="6">
        <v>43836.86</v>
      </c>
      <c r="I144" s="7" t="s">
        <v>164</v>
      </c>
      <c r="J144" s="10" t="s">
        <v>165</v>
      </c>
      <c r="L144" s="13"/>
    </row>
    <row r="145" spans="1:12" ht="51" x14ac:dyDescent="0.25">
      <c r="A145" s="12" t="s">
        <v>111</v>
      </c>
      <c r="B145" s="2" t="s">
        <v>115</v>
      </c>
      <c r="C145" s="3" t="str">
        <f>HYPERLINK("https://transparencia-area-fim.mpce.mp.br/#/consulta/processo/pastadigital/092023000338585","09.2023.00033858-5")</f>
        <v>09.2023.00033858-5</v>
      </c>
      <c r="D145" s="4">
        <v>46079</v>
      </c>
      <c r="E145" s="16" t="str">
        <f>HYPERLINK("https://www8.mpce.mp.br/Empenhos/150001/Objeto/62-2024.pdf","EMPENHO REF. ALUGUEL DE IMÓVEL ONDE FUNCIONAM PROMOTORIAS DE JUSTIÇA DA COMARCA DE LIMOEIRO DO NORTE, CONF. CONTRATO 062/2024, REF. FEV E MAR/2026, POR ESTIMATIVA.")</f>
        <v>EMPENHO REF. ALUGUEL DE IMÓVEL ONDE FUNCIONAM PROMOTORIAS DE JUSTIÇA DA COMARCA DE LIMOEIRO DO NORTE, CONF. CONTRATO 062/2024, REF. FEV E MAR/2026, POR ESTIMATIVA.</v>
      </c>
      <c r="F145" s="2" t="s">
        <v>121</v>
      </c>
      <c r="G145" s="5" t="str">
        <f>HYPERLINK("https://siafe.sefaz.ce.gov.br/Siafe/downloadSignature?token=f8857d139bb64865958326bc88803b86","2026NE000261")</f>
        <v>2026NE000261</v>
      </c>
      <c r="H145" s="6">
        <v>34851.96</v>
      </c>
      <c r="I145" s="7" t="s">
        <v>23</v>
      </c>
      <c r="J145" s="10" t="s">
        <v>136</v>
      </c>
      <c r="L145" s="13"/>
    </row>
    <row r="146" spans="1:12" ht="38.25" x14ac:dyDescent="0.25">
      <c r="A146" s="12" t="s">
        <v>122</v>
      </c>
      <c r="B146" s="2" t="s">
        <v>146</v>
      </c>
      <c r="C146" s="3" t="str">
        <f>HYPERLINK("https://transparencia-area-fim.mpce.mp.br/#/consulta/processo/pastadigital/092023000293915","09.2023.00029391-5")</f>
        <v>09.2023.00029391-5</v>
      </c>
      <c r="D146" s="4">
        <v>46079</v>
      </c>
      <c r="E146" s="16" t="str">
        <f>HYPERLINK("https://www8.mpce.mp.br/Empenhos/150001/Objeto/54-2023.pdf","EMPENHO REF. ALUGUEL DE IMÓVEL ONDE FUNCIONAM ALMOXARIFADO E PATRIMÔNIO, CONF. CONTRATO 054/2023, REF. FEV E MAR/2026, POR ESTIMATIVA.")</f>
        <v>EMPENHO REF. ALUGUEL DE IMÓVEL ONDE FUNCIONAM ALMOXARIFADO E PATRIMÔNIO, CONF. CONTRATO 054/2023, REF. FEV E MAR/2026, POR ESTIMATIVA.</v>
      </c>
      <c r="F146" s="2" t="s">
        <v>121</v>
      </c>
      <c r="G146" s="5" t="str">
        <f>HYPERLINK("https://siafe.sefaz.ce.gov.br/Siafe/downloadSignature?token=d004827dd6c540a290c532d8c36ce2ee","2026NE000262")</f>
        <v>2026NE000262</v>
      </c>
      <c r="H146" s="6">
        <v>47169.98</v>
      </c>
      <c r="I146" s="7" t="s">
        <v>30</v>
      </c>
      <c r="J146" s="10" t="s">
        <v>157</v>
      </c>
      <c r="L146" s="13"/>
    </row>
    <row r="147" spans="1:12" ht="51" x14ac:dyDescent="0.25">
      <c r="A147" s="12" t="s">
        <v>122</v>
      </c>
      <c r="B147" s="2" t="s">
        <v>146</v>
      </c>
      <c r="C147" s="3" t="str">
        <f>HYPERLINK("https://transparencia-area-fim.mpce.mp.br/#/consulta/processo/pastadigital/092024000260350","09.2024.00026035-0")</f>
        <v>09.2024.00026035-0</v>
      </c>
      <c r="D147" s="4">
        <v>46078</v>
      </c>
      <c r="E147" s="16" t="str">
        <f>HYPERLINK("https://www8.mpce.mp.br/Empenhos/150001/Objeto/75-2024.pdf","SOLUÇAO INSEYETS ONLINE PRO EXTRAÇÃO AVANÇADA E ANÁLISE DE DADOS A PARTIR DE PLATAFORMAS ELETRONICAS PORTÁTEIS. 1º ADITIVO AO CONTRATO 075/2024")</f>
        <v>SOLUÇAO INSEYETS ONLINE PRO EXTRAÇÃO AVANÇADA E ANÁLISE DE DADOS A PARTIR DE PLATAFORMAS ELETRONICAS PORTÁTEIS. 1º ADITIVO AO CONTRATO 075/2024</v>
      </c>
      <c r="F147" s="2" t="s">
        <v>200</v>
      </c>
      <c r="G147" s="5" t="str">
        <f>HYPERLINK("https://siafe.sefaz.ce.gov.br/Siafe/downloadSignature?token=8e5f248095bc400eb35b8846313f32cc","2026NE000263")</f>
        <v>2026NE000263</v>
      </c>
      <c r="H147" s="6">
        <v>172101.36</v>
      </c>
      <c r="I147" s="7" t="s">
        <v>81</v>
      </c>
      <c r="J147" s="10" t="s">
        <v>278</v>
      </c>
      <c r="L147" s="13"/>
    </row>
    <row r="148" spans="1:12" ht="51" x14ac:dyDescent="0.25">
      <c r="A148" s="12" t="s">
        <v>111</v>
      </c>
      <c r="B148" s="2" t="s">
        <v>151</v>
      </c>
      <c r="C148" s="3" t="str">
        <f>HYPERLINK("http://www8.mpce.mp.br/Dispensa/842220170.pdf","8422/20170")</f>
        <v>8422/20170</v>
      </c>
      <c r="D148" s="4">
        <v>46079</v>
      </c>
      <c r="E148" s="16" t="str">
        <f>HYPERLINK("https://www8.mpce.mp.br/Empenhos/150001/Objeto/16-2017.pdf","EMPENHO REF. ALUGUEL DE IMÓVEL ONDE FUNCIONAM PROMOTORIAS DE JUSTIÇA DA COMARCA CRIMINAIS DE FORTALEZA, CONF. CONTRATO 016/2017, REF. FEV E MAR/2026, POR ESTIMATIVA.")</f>
        <v>EMPENHO REF. ALUGUEL DE IMÓVEL ONDE FUNCIONAM PROMOTORIAS DE JUSTIÇA DA COMARCA CRIMINAIS DE FORTALEZA, CONF. CONTRATO 016/2017, REF. FEV E MAR/2026, POR ESTIMATIVA.</v>
      </c>
      <c r="F148" s="2" t="s">
        <v>121</v>
      </c>
      <c r="G148" s="5" t="str">
        <f>HYPERLINK("https://siafe.sefaz.ce.gov.br/Siafe/downloadSignature?token=288a6ab027754f229de58f30b8370812","2026NE000266")</f>
        <v>2026NE000266</v>
      </c>
      <c r="H148" s="6">
        <v>126566.48</v>
      </c>
      <c r="I148" s="7" t="s">
        <v>29</v>
      </c>
      <c r="J148" s="10" t="s">
        <v>154</v>
      </c>
      <c r="L148" s="13"/>
    </row>
    <row r="149" spans="1:12" ht="102" x14ac:dyDescent="0.25">
      <c r="A149" s="12" t="s">
        <v>111</v>
      </c>
      <c r="B149" s="2" t="s">
        <v>159</v>
      </c>
      <c r="C149" s="3" t="str">
        <f>HYPERLINK("https://transparencia-area-fim.mpce.mp.br/#/consulta/processo/pastadigital/092025000302894","09.2025.00030289-4")</f>
        <v>09.2025.00030289-4</v>
      </c>
      <c r="D149" s="4">
        <v>46079</v>
      </c>
      <c r="E149" s="16" t="str">
        <f>HYPERLINK("https://www8.mpce.mp.br/Empenhos/150001/Objeto/49-2025.pdf","	PRESTAÇÃO DE SERVIÇOS LICENCIADOS DE COMPUTAÇÃO EM NUVEM, CONTEMPLANDO AS MODALIDADES IAAS (INFRAESTRUTURA COMO SERVIÇO), PAAS (PLATAFORMA COMO SERVIÇO) E SAAS (SOFTWARE COMO S"&amp;"ERVIÇO), DO NÚCLEO DE APOIO TÉCNICO A INVESTIGAÇÃO (NATI) E DEMAIS ÓRGÃOS DE INVESTIGAÇÃO DO MINISTÉRIO PÚBLICO DO ESTADO DO CEARÁ (MPCE), CONF. CONTRATO 049/2025.")</f>
        <v xml:space="preserve">	PRESTAÇÃO DE SERVIÇOS LICENCIADOS DE COMPUTAÇÃO EM NUVEM, CONTEMPLANDO AS MODALIDADES IAAS (INFRAESTRUTURA COMO SERVIÇO), PAAS (PLATAFORMA COMO SERVIÇO) E SAAS (SOFTWARE COMO SERVIÇO), DO NÚCLEO DE APOIO TÉCNICO A INVESTIGAÇÃO (NATI) E DEMAIS ÓRGÃOS DE INVESTIGAÇÃO DO MINISTÉRIO PÚBLICO DO ESTADO DO CEARÁ (MPCE), CONF. CONTRATO 049/2025.</v>
      </c>
      <c r="F149" s="2" t="s">
        <v>183</v>
      </c>
      <c r="G149" s="5" t="str">
        <f>HYPERLINK("https://siafe.sefaz.ce.gov.br/Siafe/downloadSignature?token=bb05bdabf49147049fd49547c455bf4f","2026NE000276")</f>
        <v>2026NE000276</v>
      </c>
      <c r="H149" s="6">
        <v>149997.78</v>
      </c>
      <c r="I149" s="7" t="s">
        <v>50</v>
      </c>
      <c r="J149" s="10" t="s">
        <v>184</v>
      </c>
      <c r="L149" s="13"/>
    </row>
    <row r="150" spans="1:12" ht="38.25" x14ac:dyDescent="0.25">
      <c r="A150" s="12" t="s">
        <v>111</v>
      </c>
      <c r="B150" s="2" t="s">
        <v>159</v>
      </c>
      <c r="C150" s="3" t="str">
        <f>HYPERLINK("https://transparencia-area-fim.mpce.mp.br/#/consulta/processo/pastadigital/092026000019787","09.2026.00001978-7")</f>
        <v>09.2026.00001978-7</v>
      </c>
      <c r="D150" s="4">
        <v>46080</v>
      </c>
      <c r="E150" s="16" t="str">
        <f>HYPERLINK("https://www8.mpce.mp.br/Empenhos/150001/Objeto/02-2026.pdf","PRESTAÇÃO DE SERVIÇOS DE LINKS DE DADOS  REFERENTE AOS 17 DIAS DO MÊS DE FEVEREIRO E O MÊS DE MARÇO DE 2026 CONFORME CONTRATO 002/2026.")</f>
        <v>PRESTAÇÃO DE SERVIÇOS DE LINKS DE DADOS  REFERENTE AOS 17 DIAS DO MÊS DE FEVEREIRO E O MÊS DE MARÇO DE 2026 CONFORME CONTRATO 002/2026.</v>
      </c>
      <c r="F150" s="2" t="s">
        <v>279</v>
      </c>
      <c r="G150" s="5" t="str">
        <f>HYPERLINK("https://siafe.sefaz.ce.gov.br/Siafe/downloadSignature?token=b356264204ad458e90a9e0ab95d11a2a","2026NE000280")</f>
        <v>2026NE000280</v>
      </c>
      <c r="H150" s="6">
        <v>27788.22</v>
      </c>
      <c r="I150" s="7" t="s">
        <v>50</v>
      </c>
      <c r="J150" s="10" t="s">
        <v>184</v>
      </c>
      <c r="L150" s="13"/>
    </row>
    <row r="151" spans="1:12" ht="89.25" x14ac:dyDescent="0.25">
      <c r="A151" s="12" t="s">
        <v>122</v>
      </c>
      <c r="B151" s="2" t="s">
        <v>280</v>
      </c>
      <c r="C151" s="3" t="str">
        <f>HYPERLINK("https://transparencia-area-fim.mpce.mp.br/#/consulta/processo/pastadigital/092023000385590","09.2023.00038559-0")</f>
        <v>09.2023.00038559-0</v>
      </c>
      <c r="D151" s="4">
        <v>46080</v>
      </c>
      <c r="E151" s="16" t="str">
        <f>HYPERLINK("https://www8.mpce.mp.br/Empenhos/150001/Objeto/25-2024.pdf","EMPENHO REF. COMPLEMENTAÇÃO DA NE 2025NE001717, QUE ABRANGE LICENÇAS DE ACESSO ÀS PLATAFORMAS DE SAÚDE FÍSICA (WELLHUB) E MENTAL (WELLZ) PARA MEMBROS S SERVIDORES DO MPCE, CONF."&amp;" CONTRATO 025/2024 E TERMO DE RECONHECIMENTO DE DÍVIDA 0008/2026/SEFIN (FLS. 74), REF. DEZ/2025. DEA: 2026NP000035.")</f>
        <v>EMPENHO REF. COMPLEMENTAÇÃO DA NE 2025NE001717, QUE ABRANGE LICENÇAS DE ACESSO ÀS PLATAFORMAS DE SAÚDE FÍSICA (WELLHUB) E MENTAL (WELLZ) PARA MEMBROS S SERVIDORES DO MPCE, CONF. CONTRATO 025/2024 E TERMO DE RECONHECIMENTO DE DÍVIDA 0008/2026/SEFIN (FLS. 74), REF. DEZ/2025. DEA: 2026NP000035.</v>
      </c>
      <c r="F151" s="2" t="s">
        <v>281</v>
      </c>
      <c r="G151" s="5" t="str">
        <f>HYPERLINK("https://siafe.sefaz.ce.gov.br/Siafe/downloadSignature?token=ecad8d82f9cc41a8a11e26a6b79d857d","2026NE000283")</f>
        <v>2026NE000283</v>
      </c>
      <c r="H151" s="6">
        <v>53848.34</v>
      </c>
      <c r="I151" s="7" t="s">
        <v>55</v>
      </c>
      <c r="J151" s="10" t="s">
        <v>247</v>
      </c>
      <c r="L151" s="13"/>
    </row>
    <row r="152" spans="1:12" ht="51" x14ac:dyDescent="0.25">
      <c r="A152" s="12" t="s">
        <v>111</v>
      </c>
      <c r="B152" s="2" t="s">
        <v>158</v>
      </c>
      <c r="C152" s="3" t="str">
        <f>HYPERLINK("http://www8.mpce.mp.br/Dispensa/146020136.pdf","1460/2013-6")</f>
        <v>1460/2013-6</v>
      </c>
      <c r="D152" s="4">
        <v>46080</v>
      </c>
      <c r="E152" s="16" t="str">
        <f>HYPERLINK("https://www8.mpce.mp.br/Empenhos/150001/Objeto/39-2013.pdf","EMPENHO REF. ALUGUEL ONDE FUNCIONAM PROMOTORIAS DE JUSTIÇA DA COMARCA DE CASCAVEL-CE, CONF. CONTRATO 039/2013, REF. FEV E MAR/2026, POR ESTIMATIVA.")</f>
        <v>EMPENHO REF. ALUGUEL ONDE FUNCIONAM PROMOTORIAS DE JUSTIÇA DA COMARCA DE CASCAVEL-CE, CONF. CONTRATO 039/2013, REF. FEV E MAR/2026, POR ESTIMATIVA.</v>
      </c>
      <c r="F152" s="2" t="s">
        <v>113</v>
      </c>
      <c r="G152" s="5" t="str">
        <f>HYPERLINK("https://siafe.sefaz.ce.gov.br/Siafe/downloadSignature?token=6d7eb236f5e749099668a3310b4d3b8e","2026NE000285")</f>
        <v>2026NE000285</v>
      </c>
      <c r="H152" s="6">
        <v>8683.1200000000008</v>
      </c>
      <c r="I152" s="7" t="s">
        <v>83</v>
      </c>
      <c r="J152" s="10" t="s">
        <v>143</v>
      </c>
      <c r="L152" s="13"/>
    </row>
    <row r="153" spans="1:12" ht="63.75" x14ac:dyDescent="0.25">
      <c r="A153" s="12" t="s">
        <v>111</v>
      </c>
      <c r="B153" s="2" t="s">
        <v>159</v>
      </c>
      <c r="C153" s="3" t="str">
        <f>HYPERLINK("https://transparencia-area-fim.mpce.mp.br/#/consulta/processo/pastadigital/092024000350649","09.2024.00035064-9")</f>
        <v>09.2024.00035064-9</v>
      </c>
      <c r="D153" s="4">
        <v>46076</v>
      </c>
      <c r="E153" s="16" t="str">
        <f>HYPERLINK("https://www8.mpce.mp.br/Empenhos/150001/Objeto/09-2025.pdf","EMPENHO REF. PRESTAÇÃO DE SERVIÇOS DE HOSPEDAGEM EM NUVEM PARA GUARDA DE VOLUMES DA REVISTA ACADÊMICA DA ESCOLA SUPERIOR DO MINISTÉRIO PÚBLICO DO ESTADO DO CEARÁ, CONF. CONTRATO"&amp;" Nº 009/2025, REF. JAN A ABRIL/2026, POR ESTIMATIVA.")</f>
        <v>EMPENHO REF. PRESTAÇÃO DE SERVIÇOS DE HOSPEDAGEM EM NUVEM PARA GUARDA DE VOLUMES DA REVISTA ACADÊMICA DA ESCOLA SUPERIOR DO MINISTÉRIO PÚBLICO DO ESTADO DO CEARÁ, CONF. CONTRATO Nº 009/2025, REF. JAN A ABRIL/2026, POR ESTIMATIVA.</v>
      </c>
      <c r="F153" s="2" t="s">
        <v>282</v>
      </c>
      <c r="G153" s="5" t="str">
        <f>HYPERLINK("https://siafe.sefaz.ce.gov.br/Siafe/downloadSignature?token=b2076815b9e14c3b81ecec124165c94b","2026NE000287")</f>
        <v>2026NE000287</v>
      </c>
      <c r="H153" s="6">
        <v>480</v>
      </c>
      <c r="I153" s="7" t="s">
        <v>283</v>
      </c>
      <c r="J153" s="10" t="s">
        <v>284</v>
      </c>
      <c r="L153" s="13"/>
    </row>
    <row r="154" spans="1:12" ht="51" x14ac:dyDescent="0.25">
      <c r="A154" s="12" t="s">
        <v>122</v>
      </c>
      <c r="B154" s="2" t="s">
        <v>146</v>
      </c>
      <c r="C154" s="3" t="str">
        <f>HYPERLINK("https://transparencia-area-fim.mpce.mp.br/#/consulta/processo/pastadigital/092025000208114","09.2025.00020811-4")</f>
        <v>09.2025.00020811-4</v>
      </c>
      <c r="D154" s="4">
        <v>46076</v>
      </c>
      <c r="E154" s="16" t="str">
        <f>HYPERLINK("https://www8.mpce.mp.br/Empenhos/150001/Objeto/52-2025.pdf","	DIAGNÓSTICO GERAL E ELABORAÇÃO DE MINUTA DO PROJETO .ENTREGA DE RELATÓRIO DETALHADO CONFORME CONTRATO 052/2025 PARA O MÊS DE FEVEREIRO/2026.")</f>
        <v xml:space="preserve">	DIAGNÓSTICO GERAL E ELABORAÇÃO DE MINUTA DO PROJETO .ENTREGA DE RELATÓRIO DETALHADO CONFORME CONTRATO 052/2025 PARA O MÊS DE FEVEREIRO/2026.</v>
      </c>
      <c r="F154" s="2" t="s">
        <v>285</v>
      </c>
      <c r="G154" s="5" t="str">
        <f>HYPERLINK("https://siafe.sefaz.ce.gov.br/Siafe/downloadSignature?token=6645a37226554d67b047bf34be814977","2026NE000295")</f>
        <v>2026NE000295</v>
      </c>
      <c r="H154" s="6">
        <v>3000</v>
      </c>
      <c r="I154" s="7" t="s">
        <v>286</v>
      </c>
      <c r="J154" s="10" t="s">
        <v>287</v>
      </c>
      <c r="L154" s="13"/>
    </row>
    <row r="155" spans="1:12" ht="51" x14ac:dyDescent="0.25">
      <c r="A155" s="12" t="s">
        <v>111</v>
      </c>
      <c r="B155" s="2" t="s">
        <v>115</v>
      </c>
      <c r="C155" s="3" t="str">
        <f>HYPERLINK("http://www8.mpce.mp.br/Dispensa/4503020176.pdf","45030/2017-6")</f>
        <v>45030/2017-6</v>
      </c>
      <c r="D155" s="4">
        <v>46084</v>
      </c>
      <c r="E155" s="16" t="str">
        <f>HYPERLINK("https://www8.mpce.mp.br/Empenhos/150001/Objeto/74-2019.pdf","EMPENHO REFERENTE AO ALUGUEL DO IMÓVEL QUE ABRIGA AS PROMOTORIAS DE JUSTIÇA DA COMARCA DE GRANJA/CE, CONFORME CONTRATO 074/2019, RELATIVO AOS MESES DE FEV E MAR/2026, POR ESTIMA"&amp;"TIVA.")</f>
        <v>EMPENHO REFERENTE AO ALUGUEL DO IMÓVEL QUE ABRIGA AS PROMOTORIAS DE JUSTIÇA DA COMARCA DE GRANJA/CE, CONFORME CONTRATO 074/2019, RELATIVO AOS MESES DE FEV E MAR/2026, POR ESTIMATIVA.</v>
      </c>
      <c r="F155" s="2" t="s">
        <v>113</v>
      </c>
      <c r="G155" s="5" t="str">
        <f>HYPERLINK("https://siafe.sefaz.ce.gov.br/Siafe/downloadSignature?token=841b03ef9d9347639e2fa5cd828eb2e6","2026NE000296")</f>
        <v>2026NE000296</v>
      </c>
      <c r="H155" s="6">
        <v>4671.28</v>
      </c>
      <c r="I155" s="7" t="s">
        <v>88</v>
      </c>
      <c r="J155" s="10" t="s">
        <v>118</v>
      </c>
      <c r="L155" s="13"/>
    </row>
    <row r="156" spans="1:12" ht="51" x14ac:dyDescent="0.25">
      <c r="A156" s="12" t="s">
        <v>111</v>
      </c>
      <c r="B156" s="2" t="s">
        <v>159</v>
      </c>
      <c r="C156" s="3" t="str">
        <f>HYPERLINK("https://transparencia-area-fim.mpce.mp.br/#/consulta/processo/pastadigital/092023000338541","09.2023.00033854-1")</f>
        <v>09.2023.00033854-1</v>
      </c>
      <c r="D156" s="4">
        <v>46084</v>
      </c>
      <c r="E156" s="16" t="str">
        <f>HYPERLINK("https://www8.mpce.mp.br/Empenhos/150001/Objeto/36-2024.pdf","EMPENHO REFERENTE AO ALUGUEL DAS PROMOTORIAS DE JUSTIÇA DA COMARCA DE MORADA NOVA, CONFORME CONTRATO 036/2024, RELATIVO AOS MESES DE FEV E MAR/2026, POR ESTIMATIVA.")</f>
        <v>EMPENHO REFERENTE AO ALUGUEL DAS PROMOTORIAS DE JUSTIÇA DA COMARCA DE MORADA NOVA, CONFORME CONTRATO 036/2024, RELATIVO AOS MESES DE FEV E MAR/2026, POR ESTIMATIVA.</v>
      </c>
      <c r="F156" s="2" t="s">
        <v>121</v>
      </c>
      <c r="G156" s="5" t="str">
        <f>HYPERLINK("https://siafe.sefaz.ce.gov.br/Siafe/downloadSignature?token=bd26c66784c24a059b8adf1da129cad3","2026NE000302")</f>
        <v>2026NE000302</v>
      </c>
      <c r="H156" s="6">
        <v>36775</v>
      </c>
      <c r="I156" s="7" t="s">
        <v>27</v>
      </c>
      <c r="J156" s="10" t="s">
        <v>134</v>
      </c>
      <c r="L156" s="13"/>
    </row>
    <row r="157" spans="1:12" ht="51" x14ac:dyDescent="0.25">
      <c r="A157" s="12" t="s">
        <v>122</v>
      </c>
      <c r="B157" s="2" t="s">
        <v>206</v>
      </c>
      <c r="C157" s="3" t="str">
        <f>HYPERLINK("https://transparencia-area-fim.mpce.mp.br/#/consulta/processo/pastadigital/092023000255300","09.2023.00025530-0")</f>
        <v>09.2023.00025530-0</v>
      </c>
      <c r="D157" s="4">
        <v>46086</v>
      </c>
      <c r="E157" s="16" t="str">
        <f>HYPERLINK("https://www8.mpce.mp.br/Empenhos/150001/Objeto/42-2024.pdf","EMPENHO REFERENTE AOS SERVIÇOS DE ACOMPANHAMENTO DA OPERAÇÃO SAJ-MP, CONFORME CONTRATO 042/2024, RELATIVOS AOS MESES DE FEV E MAR/2026, POR ESTIMATIVA.")</f>
        <v>EMPENHO REFERENTE AOS SERVIÇOS DE ACOMPANHAMENTO DA OPERAÇÃO SAJ-MP, CONFORME CONTRATO 042/2024, RELATIVOS AOS MESES DE FEV E MAR/2026, POR ESTIMATIVA.</v>
      </c>
      <c r="F157" s="2" t="s">
        <v>257</v>
      </c>
      <c r="G157" s="5" t="str">
        <f>HYPERLINK("https://siafe.sefaz.ce.gov.br/Siafe/downloadSignature?token=dbd6eec0cefa44278baf14629b5c15fb","2026NE000324")</f>
        <v>2026NE000324</v>
      </c>
      <c r="H157" s="6">
        <v>145714</v>
      </c>
      <c r="I157" s="7" t="s">
        <v>70</v>
      </c>
      <c r="J157" s="10" t="s">
        <v>207</v>
      </c>
      <c r="L157" s="13"/>
    </row>
    <row r="158" spans="1:12" ht="89.25" x14ac:dyDescent="0.25">
      <c r="A158" s="12" t="s">
        <v>122</v>
      </c>
      <c r="B158" s="2" t="s">
        <v>203</v>
      </c>
      <c r="C158" s="3" t="str">
        <f>HYPERLINK("https://transparencia-area-fim.mpce.mp.br/#/consulta/processo/pastadigital/092021000189150","09.2021.00018915-0")</f>
        <v>09.2021.00018915-0</v>
      </c>
      <c r="D158" s="4">
        <v>46092</v>
      </c>
      <c r="E158" s="16" t="str">
        <f>HYPERLINK("https://www8.mpce.mp.br/Empenhos/150001/Objeto/09-2022.pdf","EMPENHO REF. PRESTAÇÃO DE SERVIÇO DE EXTENSÃO DE GARANTIA PARA O DATA CENTER INSTALADO NA SEDE DA PGJ/MPCE, CONF. 3º TERMO DE APOSTILAMENTO AO CONTRATO 009/2022 E TERMO DE RECON"&amp;"HECIMENTO DE DÍVIDA 0012/2026/SEFIN, REF. DIFERENÇAS DO REAJUSTE PARA O PERÍODO DE JAN A JUL/2025. DEA 26000952 NP 2026NP000084.")</f>
        <v>EMPENHO REF. PRESTAÇÃO DE SERVIÇO DE EXTENSÃO DE GARANTIA PARA O DATA CENTER INSTALADO NA SEDE DA PGJ/MPCE, CONF. 3º TERMO DE APOSTILAMENTO AO CONTRATO 009/2022 E TERMO DE RECONHECIMENTO DE DÍVIDA 0012/2026/SEFIN, REF. DIFERENÇAS DO REAJUSTE PARA O PERÍODO DE JAN A JUL/2025. DEA 26000952 NP 2026NP000084.</v>
      </c>
      <c r="F158" s="2" t="s">
        <v>281</v>
      </c>
      <c r="G158" s="5" t="str">
        <f>HYPERLINK("https://siafe.sefaz.ce.gov.br/Siafe/downloadSignature?token=cf541e0ac52d44b7a11d82a89c23224f","2026NE000340")</f>
        <v>2026NE000340</v>
      </c>
      <c r="H158" s="6">
        <v>4294.71</v>
      </c>
      <c r="I158" s="7" t="s">
        <v>63</v>
      </c>
      <c r="J158" s="10" t="s">
        <v>205</v>
      </c>
      <c r="L158" s="13"/>
    </row>
    <row r="159" spans="1:12" ht="89.25" x14ac:dyDescent="0.25">
      <c r="A159" s="12" t="s">
        <v>122</v>
      </c>
      <c r="B159" s="2" t="s">
        <v>203</v>
      </c>
      <c r="C159" s="3" t="str">
        <f>HYPERLINK("https://transparencia-area-fim.mpce.mp.br/#/consulta/processo/pastadigital/092021000189150","09.2021.00018915-0")</f>
        <v>09.2021.00018915-0</v>
      </c>
      <c r="D159" s="4">
        <v>46092</v>
      </c>
      <c r="E159" s="16" t="str">
        <f>HYPERLINK("https://www8.mpce.mp.br/Empenhos/150001/Objeto/09-2022.pdf","EMPENHO REF. PRESTAÇÃO DE SERVIÇO DE EXTENSÃO DE GARANTIA PARA O DATA CENTER INSTALADO NA SEDE DA PGJ/MPCE, CONF. EFEITO RETROATIVO DO 3º TERMO DE APOSTILAMENTO AO CONTRATO 009/"&amp;"2022 E TERMO DE RECONHECIMENTO DE DÍVIDA 0011/2026/SEFIN, REF. DIFERENÇAS DO REAJUSTE PARA O PERÍODO DE AGO A DEZ/2024. DEA 26000955 NP 2026NP000085.")</f>
        <v>EMPENHO REF. PRESTAÇÃO DE SERVIÇO DE EXTENSÃO DE GARANTIA PARA O DATA CENTER INSTALADO NA SEDE DA PGJ/MPCE, CONF. EFEITO RETROATIVO DO 3º TERMO DE APOSTILAMENTO AO CONTRATO 009/2022 E TERMO DE RECONHECIMENTO DE DÍVIDA 0011/2026/SEFIN, REF. DIFERENÇAS DO REAJUSTE PARA O PERÍODO DE AGO A DEZ/2024. DEA 26000955 NP 2026NP000085.</v>
      </c>
      <c r="F159" s="2" t="s">
        <v>281</v>
      </c>
      <c r="G159" s="5" t="str">
        <f>HYPERLINK("https://siafe.sefaz.ce.gov.br/Siafe/downloadSignature?token=9283b6e3bef24040b7456c7b4364fbec","2026NE000341")</f>
        <v>2026NE000341</v>
      </c>
      <c r="H159" s="6">
        <v>2867.57</v>
      </c>
      <c r="I159" s="7" t="s">
        <v>63</v>
      </c>
      <c r="J159" s="10" t="s">
        <v>205</v>
      </c>
      <c r="L159" s="13"/>
    </row>
    <row r="160" spans="1:12" ht="89.25" x14ac:dyDescent="0.25">
      <c r="A160" s="12" t="s">
        <v>122</v>
      </c>
      <c r="B160" s="2" t="s">
        <v>203</v>
      </c>
      <c r="C160" s="3" t="str">
        <f>HYPERLINK("https://transparencia-area-fim.mpce.mp.br/#/consulta/processo/pastadigital/092021000189150","09.2021.00018915-0")</f>
        <v>09.2021.00018915-0</v>
      </c>
      <c r="D160" s="4">
        <v>46093</v>
      </c>
      <c r="E160" s="16" t="str">
        <f>HYPERLINK("https://www8.mpce.mp.br/Empenhos/150001/Objeto/09-2022.pdf","EMPENHO REF. PRESTAÇÃO DE SERVIÇO DE EXTENSÃO DE GARANTIA PARA O DATA CENTER INSTALADO NA SEDE DA PGJ/MPCE, CONF. EFEITO RETROATIVO DO 3º TERMO DE APOSTILAMENTO AO CONTRATO 009/"&amp;"2022 E TERMO DE RECONHECIMENTO DE DÍVIDA 0011/2026/SEFIN, REF. DIFERENÇAS DO REAJUSTE PARA O PERÍODO DE AGO A DEZ/2024.                     DEA 26000955 NP 2026NP000085.")</f>
        <v>EMPENHO REF. PRESTAÇÃO DE SERVIÇO DE EXTENSÃO DE GARANTIA PARA O DATA CENTER INSTALADO NA SEDE DA PGJ/MPCE, CONF. EFEITO RETROATIVO DO 3º TERMO DE APOSTILAMENTO AO CONTRATO 009/2022 E TERMO DE RECONHECIMENTO DE DÍVIDA 0011/2026/SEFIN, REF. DIFERENÇAS DO REAJUSTE PARA O PERÍODO DE AGO A DEZ/2024.                     DEA 26000955 NP 2026NP000085.</v>
      </c>
      <c r="F160" s="2" t="s">
        <v>281</v>
      </c>
      <c r="G160" s="5" t="str">
        <f>HYPERLINK("https://siafe.sefaz.ce.gov.br/Siafe/downloadSignature?token=a0a7d2ab4fbb410b8c773912ff28fbe1","2026NE000344")</f>
        <v>2026NE000344</v>
      </c>
      <c r="H160" s="6">
        <v>2867.57</v>
      </c>
      <c r="I160" s="7" t="s">
        <v>63</v>
      </c>
      <c r="J160" s="10" t="s">
        <v>205</v>
      </c>
      <c r="L160" s="13"/>
    </row>
    <row r="161" spans="1:12" ht="51" x14ac:dyDescent="0.25">
      <c r="A161" s="12" t="s">
        <v>122</v>
      </c>
      <c r="B161" s="2" t="s">
        <v>203</v>
      </c>
      <c r="C161" s="3" t="str">
        <f>HYPERLINK("https://transparencia-area-fim.mpce.mp.br/#/consulta/processo/pastadigital/092021000189150","09.2021.00018915-0")</f>
        <v>09.2021.00018915-0</v>
      </c>
      <c r="D161" s="4">
        <v>46097</v>
      </c>
      <c r="E161" s="16" t="str">
        <f>HYPERLINK("https://www8.mpce.mp.br/Empenhos/150001/Objeto/09-2022.pdf","EMPENHO REFERENTE A PRESTAÇÃO DE SERVIÇOS DE EXTENSÃO DE GARANTIA DO DATA CENTER, CONF. CONTRATO 009/2022, PARA ATENDER OS MESES DE FEV E MAR/2026, POR ESTIMATIVA.")</f>
        <v>EMPENHO REFERENTE A PRESTAÇÃO DE SERVIÇOS DE EXTENSÃO DE GARANTIA DO DATA CENTER, CONF. CONTRATO 009/2022, PARA ATENDER OS MESES DE FEV E MAR/2026, POR ESTIMATIVA.</v>
      </c>
      <c r="F161" s="2" t="s">
        <v>204</v>
      </c>
      <c r="G161" s="5" t="str">
        <f>HYPERLINK("https://siafe.sefaz.ce.gov.br/Siafe/downloadSignature?token=95b5d114f4564ab783f5651cef4b69db","2026NE000361")</f>
        <v>2026NE000361</v>
      </c>
      <c r="H161" s="6">
        <v>39984.400000000001</v>
      </c>
      <c r="I161" s="7" t="s">
        <v>63</v>
      </c>
      <c r="J161" s="10" t="s">
        <v>205</v>
      </c>
      <c r="L161" s="13"/>
    </row>
    <row r="162" spans="1:12" ht="38.25" x14ac:dyDescent="0.25">
      <c r="A162" s="12" t="s">
        <v>122</v>
      </c>
      <c r="B162" s="2" t="s">
        <v>206</v>
      </c>
      <c r="C162" s="3" t="str">
        <f>HYPERLINK("https://transparencia-area-fim.mpce.mp.br/#/consulta/processo/pastadigital/092023000255300","09.2023.00025530-0")</f>
        <v>09.2023.00025530-0</v>
      </c>
      <c r="D162" s="4">
        <v>46097</v>
      </c>
      <c r="E162" s="16" t="str">
        <f>HYPERLINK("https://www8.mpce.mp.br/Empenhos/150001/Objeto/42-2024.pdf","EMPENHO REFERENTE AOS SERVIÇOS DE HOSPEDAGEM EM NUVEM, CONFORME CONTRATO 042/2024, PARA ATENDER OS MESES DE FEV E MAR/2026, POR ESTIMATIVA.")</f>
        <v>EMPENHO REFERENTE AOS SERVIÇOS DE HOSPEDAGEM EM NUVEM, CONFORME CONTRATO 042/2024, PARA ATENDER OS MESES DE FEV E MAR/2026, POR ESTIMATIVA.</v>
      </c>
      <c r="F162" s="2" t="s">
        <v>261</v>
      </c>
      <c r="G162" s="5" t="str">
        <f>HYPERLINK("https://siafe.sefaz.ce.gov.br/Siafe/downloadSignature?token=d2202d6e88ef4b66849c6108b61b4c33","2026NE000362")</f>
        <v>2026NE000362</v>
      </c>
      <c r="H162" s="6">
        <v>209000</v>
      </c>
      <c r="I162" s="7" t="s">
        <v>70</v>
      </c>
      <c r="J162" s="10" t="s">
        <v>207</v>
      </c>
      <c r="L162" s="13"/>
    </row>
    <row r="163" spans="1:12" ht="76.5" x14ac:dyDescent="0.25">
      <c r="A163" s="12" t="s">
        <v>111</v>
      </c>
      <c r="B163" s="2" t="s">
        <v>182</v>
      </c>
      <c r="C163" s="3" t="str">
        <f>HYPERLINK("https://transparencia-area-fim.mpce.mp.br/#/consulta/processo/pastadigital/092023000388810","09.2023.00038881-0")</f>
        <v>09.2023.00038881-0</v>
      </c>
      <c r="D163" s="4">
        <v>46097</v>
      </c>
      <c r="E163" s="16" t="str">
        <f>HYPERLINK("https://www8.mpce.mp.br/Empenhos/150001/Objeto/22-2024.pdf","EMPENHO REFERENTE AOS SERVIÇOS DE SOLUÇÃO EM NUVEM DE PROTEÇÃO GESTÃO, AVALIAÇÃO DE POSTURA E CONECTIVIDADE PARA NUVEM, INCLUINDO IMPLANTAÇÃO, MONITORAMENTO E SUPORTE TÉCNICO, C"&amp;"ONFORME CONTRATO 022/2024, PARA ATENDER OS MESES DE FEV E MAR/2026, POR ESTIMATIVA.")</f>
        <v>EMPENHO REFERENTE AOS SERVIÇOS DE SOLUÇÃO EM NUVEM DE PROTEÇÃO GESTÃO, AVALIAÇÃO DE POSTURA E CONECTIVIDADE PARA NUVEM, INCLUINDO IMPLANTAÇÃO, MONITORAMENTO E SUPORTE TÉCNICO, CONFORME CONTRATO 022/2024, PARA ATENDER OS MESES DE FEV E MAR/2026, POR ESTIMATIVA.</v>
      </c>
      <c r="F163" s="2" t="s">
        <v>183</v>
      </c>
      <c r="G163" s="5" t="str">
        <f>HYPERLINK("https://siafe.sefaz.ce.gov.br/Siafe/downloadSignature?token=68e0f021f0114c69b5ddfbb958a24d93","2026NE000363")</f>
        <v>2026NE000363</v>
      </c>
      <c r="H163" s="6">
        <v>71437</v>
      </c>
      <c r="I163" s="7" t="s">
        <v>50</v>
      </c>
      <c r="J163" s="10" t="s">
        <v>184</v>
      </c>
      <c r="L163" s="13"/>
    </row>
    <row r="164" spans="1:12" ht="51" x14ac:dyDescent="0.25">
      <c r="A164" s="12" t="s">
        <v>111</v>
      </c>
      <c r="B164" s="2" t="s">
        <v>182</v>
      </c>
      <c r="C164" s="3" t="str">
        <f>HYPERLINK("https://transparencia-area-fim.mpce.mp.br/#/consulta/processo/pastadigital/092024000176845","09.2024.00017684-5")</f>
        <v>09.2024.00017684-5</v>
      </c>
      <c r="D164" s="4">
        <v>46097</v>
      </c>
      <c r="E164" s="16" t="str">
        <f>HYPERLINK("https://www8.mpce.mp.br/Empenhos/150001/Objeto/58-2024.pdf","EMPENHO REFERENTE A PRESTAÇÃO DE SERVIÇOS ESPECIALIZADOS EM SEGURANÇA (ANTIVÍRUS), CONFORME CONTRATO 058/2024, PARA ATENDER OS MESES DE FEV E MAR/2026, POR ESTIMATIVA.")</f>
        <v>EMPENHO REFERENTE A PRESTAÇÃO DE SERVIÇOS ESPECIALIZADOS EM SEGURANÇA (ANTIVÍRUS), CONFORME CONTRATO 058/2024, PARA ATENDER OS MESES DE FEV E MAR/2026, POR ESTIMATIVA.</v>
      </c>
      <c r="F164" s="2" t="s">
        <v>183</v>
      </c>
      <c r="G164" s="5" t="str">
        <f>HYPERLINK("https://siafe.sefaz.ce.gov.br/Siafe/downloadSignature?token=617075058cb54021a7687d87e0f1dc57","2026NE000364")</f>
        <v>2026NE000364</v>
      </c>
      <c r="H164" s="6">
        <v>258517.08</v>
      </c>
      <c r="I164" s="7" t="s">
        <v>50</v>
      </c>
      <c r="J164" s="10" t="s">
        <v>184</v>
      </c>
      <c r="L164" s="13"/>
    </row>
    <row r="165" spans="1:12" ht="38.25" x14ac:dyDescent="0.25">
      <c r="A165" s="12" t="s">
        <v>122</v>
      </c>
      <c r="B165" s="2" t="s">
        <v>206</v>
      </c>
      <c r="C165" s="3" t="str">
        <f>HYPERLINK("https://transparencia-area-fim.mpce.mp.br/#/consulta/processo/pastadigital/092023000255300","09.2023.00025530-0")</f>
        <v>09.2023.00025530-0</v>
      </c>
      <c r="D165" s="4">
        <v>46098</v>
      </c>
      <c r="E165" s="16" t="str">
        <f>HYPERLINK("https://www8.mpce.mp.br/Empenhos/150001/Objeto/42-2024.pdf","EMPENHO REFERENTE AOS SERVIÇOS DE SISTEMA SAJ-MP - SUSTENTAÇÃO, CONFORME CONTRATO 042/2024, PARA ATENDER OS MESES DE FEV E MAR/2026, POR ESTIMATIVA.")</f>
        <v>EMPENHO REFERENTE AOS SERVIÇOS DE SISTEMA SAJ-MP - SUSTENTAÇÃO, CONFORME CONTRATO 042/2024, PARA ATENDER OS MESES DE FEV E MAR/2026, POR ESTIMATIVA.</v>
      </c>
      <c r="F165" s="2" t="s">
        <v>257</v>
      </c>
      <c r="G165" s="5" t="str">
        <f>HYPERLINK("https://siafe.sefaz.ce.gov.br/Siafe/downloadSignature?token=b1f9e9df1e2442f5a3feb4319d0bf921","2026NE000368")</f>
        <v>2026NE000368</v>
      </c>
      <c r="H165" s="6">
        <v>165216</v>
      </c>
      <c r="I165" s="7" t="s">
        <v>70</v>
      </c>
      <c r="J165" s="10" t="s">
        <v>207</v>
      </c>
      <c r="L165" s="13"/>
    </row>
    <row r="166" spans="1:12" ht="38.25" x14ac:dyDescent="0.25">
      <c r="A166" s="12" t="s">
        <v>122</v>
      </c>
      <c r="B166" s="2" t="s">
        <v>146</v>
      </c>
      <c r="C166" s="3" t="str">
        <f>HYPERLINK("https://transparencia-area-fim.mpce.mp.br/#/consulta/processo/pastadigital/092023000293915","09.2023.00029391-5")</f>
        <v>09.2023.00029391-5</v>
      </c>
      <c r="D166" s="4">
        <v>46098</v>
      </c>
      <c r="E166" s="16" t="str">
        <f>HYPERLINK("https://www8.mpce.mp.br/Empenhos/150001/Objeto/54-2023.pdf","EMPENHO REFERENTE A PARCELA ÚNICA DO IPTU/2026 DO IMÓVEL ONDE FUNCIONA O GALPÃO DE ALMOXARIFADO, CONFORME CONTRATO 054/2023, POR ESTIMATIVA.")</f>
        <v>EMPENHO REFERENTE A PARCELA ÚNICA DO IPTU/2026 DO IMÓVEL ONDE FUNCIONA O GALPÃO DE ALMOXARIFADO, CONFORME CONTRATO 054/2023, POR ESTIMATIVA.</v>
      </c>
      <c r="F166" s="2" t="s">
        <v>289</v>
      </c>
      <c r="G166" s="5" t="str">
        <f>HYPERLINK("https://siafe.sefaz.ce.gov.br/Siafe/downloadSignature?token=5d6143b3272d489f93a4c4d2da6838fa","2026NE000369")</f>
        <v>2026NE000369</v>
      </c>
      <c r="H166" s="6">
        <v>4273.1499999999996</v>
      </c>
      <c r="I166" s="7" t="s">
        <v>30</v>
      </c>
      <c r="J166" s="10" t="s">
        <v>157</v>
      </c>
      <c r="L166" s="13"/>
    </row>
    <row r="167" spans="1:12" ht="38.25" x14ac:dyDescent="0.25">
      <c r="A167" s="12" t="s">
        <v>111</v>
      </c>
      <c r="B167" s="2" t="s">
        <v>158</v>
      </c>
      <c r="C167" s="3" t="str">
        <f>HYPERLINK("https://transparencia-area-fim.mpce.mp.br/#/consulta/processo/pastadigital/092022000120475","09.2022.00012047-5")</f>
        <v>09.2022.00012047-5</v>
      </c>
      <c r="D167" s="4">
        <v>46078</v>
      </c>
      <c r="E167" s="16" t="str">
        <f>HYPERLINK("https://www8.mpce.mp.br/Empenhos/150001/Objeto/54-2022.pdf","PRESTAÇÃO DO SERVIÇO DE CONSULTA DE DADOS CADASTRAIS DE ÂMBITO NACIONAL, VIA WEB SERVICE, CONFORME CONTRATO 054/2022- 3º APOSTILAMENTO.")</f>
        <v>PRESTAÇÃO DO SERVIÇO DE CONSULTA DE DADOS CADASTRAIS DE ÂMBITO NACIONAL, VIA WEB SERVICE, CONFORME CONTRATO 054/2022- 3º APOSTILAMENTO.</v>
      </c>
      <c r="F167" s="2" t="s">
        <v>274</v>
      </c>
      <c r="G167" s="5" t="str">
        <f>HYPERLINK("https://siafe.sefaz.ce.gov.br/Siafe/downloadSignature?token=5a3b3d059deb47d7ac3f19a97ac0ce5a","2026NE000369")</f>
        <v>2026NE000369</v>
      </c>
      <c r="H167" s="6">
        <v>795.08</v>
      </c>
      <c r="I167" s="7" t="s">
        <v>275</v>
      </c>
      <c r="J167" s="10" t="s">
        <v>276</v>
      </c>
      <c r="L167" s="13"/>
    </row>
    <row r="168" spans="1:12" ht="38.25" x14ac:dyDescent="0.25">
      <c r="A168" s="12" t="s">
        <v>111</v>
      </c>
      <c r="B168" s="2" t="s">
        <v>158</v>
      </c>
      <c r="C168" s="3" t="str">
        <f>HYPERLINK("http://www8.mpce.mp.br/Dispensa/4793720162.pdf","4793720162")</f>
        <v>4793720162</v>
      </c>
      <c r="D168" s="4">
        <v>46098</v>
      </c>
      <c r="E168" s="16" t="str">
        <f>HYPERLINK("https://www8.mpce.mp.br/Empenhos/150001/Objeto/14-2017.pdf","EMPENHO DA PARCELA ÚNICA DO IPTU/2026 DO IMÓVEL ONDE FUNCIONA O GALPÃO DE ALMOXARIFADO, CONFORME CONTRATO 014/2017, POR ESTIMATIVA.")</f>
        <v>EMPENHO DA PARCELA ÚNICA DO IPTU/2026 DO IMÓVEL ONDE FUNCIONA O GALPÃO DE ALMOXARIFADO, CONFORME CONTRATO 014/2017, POR ESTIMATIVA.</v>
      </c>
      <c r="F168" s="2" t="s">
        <v>289</v>
      </c>
      <c r="G168" s="5" t="str">
        <f>HYPERLINK("https://siafe.sefaz.ce.gov.br/Siafe/downloadSignature?token=58960928408241df9e84559e701a1823","2026NE000370")</f>
        <v>2026NE000370</v>
      </c>
      <c r="H168" s="6">
        <v>6563.93</v>
      </c>
      <c r="I168" s="7" t="s">
        <v>30</v>
      </c>
      <c r="J168" s="10" t="s">
        <v>157</v>
      </c>
      <c r="L168" s="13"/>
    </row>
    <row r="169" spans="1:12" ht="102" x14ac:dyDescent="0.25">
      <c r="A169" s="12" t="s">
        <v>122</v>
      </c>
      <c r="B169" s="2" t="s">
        <v>199</v>
      </c>
      <c r="C169" s="3" t="str">
        <f>HYPERLINK("https://transparencia-area-fim.mpce.mp.br/#/consulta/processo/pastadigital/092024000260350","09.2024.00026035-0")</f>
        <v>09.2024.00026035-0</v>
      </c>
      <c r="D169" s="4">
        <v>46136</v>
      </c>
      <c r="E169" s="16" t="str">
        <f>HYPERLINK("https://www8.mpce.mp.br/Empenhos/150001/Objeto/75-2024.pdf","EMPENHO REF. FORNECIMENTO DE LICENÇA DO SOFTWARE INSEYETS ONLINE PRO - EXTRAÇÃO AVANÇADA E ANÁLISE DE DADOS A PARTIR DE PLATAFORMAS ELETRÔNICAS PORTÁTEIS, DESTINADO AO ATENDIMEN"&amp;"TO DAS DEMANDAS DO NÚCLEO DE APOIO TÉCNICO À INVESTIGAÇÃO - NATI, CONF. 1º TERMO DE APOSTILAMENTO AO CONTRATO 075/2024, REF. REAJUSTE/2026 - PARCELA ÚNICA, POR ESTIMATIVA.")</f>
        <v>EMPENHO REF. FORNECIMENTO DE LICENÇA DO SOFTWARE INSEYETS ONLINE PRO - EXTRAÇÃO AVANÇADA E ANÁLISE DE DADOS A PARTIR DE PLATAFORMAS ELETRÔNICAS PORTÁTEIS, DESTINADO AO ATENDIMENTO DAS DEMANDAS DO NÚCLEO DE APOIO TÉCNICO À INVESTIGAÇÃO - NATI, CONF. 1º TERMO DE APOSTILAMENTO AO CONTRATO 075/2024, REF. REAJUSTE/2026 - PARCELA ÚNICA, POR ESTIMATIVA.</v>
      </c>
      <c r="F169" s="2" t="s">
        <v>200</v>
      </c>
      <c r="G169" s="5" t="str">
        <f>HYPERLINK("https://siafe.sefaz.ce.gov.br/Siafe/downloadSignature?token=af05f3b50cbe4afa8369764d7b693bb8","2026NE000372")</f>
        <v>2026NE000372</v>
      </c>
      <c r="H169" s="6">
        <v>8992.67</v>
      </c>
      <c r="I169" s="7" t="s">
        <v>81</v>
      </c>
      <c r="J169" s="10" t="s">
        <v>278</v>
      </c>
      <c r="L169" s="13"/>
    </row>
    <row r="170" spans="1:12" ht="51" x14ac:dyDescent="0.25">
      <c r="A170" s="12" t="s">
        <v>122</v>
      </c>
      <c r="B170" s="2" t="s">
        <v>146</v>
      </c>
      <c r="C170" s="3" t="str">
        <f>HYPERLINK("https://transparencia-area-fim.mpce.mp.br/#/consulta/processo/pastadigital/092024000189230","09.2024.00018923-0")</f>
        <v>09.2024.00018923-0</v>
      </c>
      <c r="D170" s="4">
        <v>46079</v>
      </c>
      <c r="E170" s="16" t="str">
        <f>HYPERLINK("https://www8.mpce.mp.br/Empenhos/150001/Objeto/98-2024.pdf","EMPENHO REF. SERVIÇO DE FORNECIMENTO DE ENERGIA ELÉTRICA, EM ALTA TENSÃO A4 HORO-SAZONAL VERDE, POR INEXIGIBILIDADE DE LICITAÇÃO, CONF.  CONTRATO 098/2024, REF. MAR/2026, POR ES"&amp;"TIMATIVA")</f>
        <v>EMPENHO REF. SERVIÇO DE FORNECIMENTO DE ENERGIA ELÉTRICA, EM ALTA TENSÃO A4 HORO-SAZONAL VERDE, POR INEXIGIBILIDADE DE LICITAÇÃO, CONF.  CONTRATO 098/2024, REF. MAR/2026, POR ESTIMATIVA</v>
      </c>
      <c r="F170" s="2" t="s">
        <v>228</v>
      </c>
      <c r="G170" s="5" t="str">
        <f>HYPERLINK("https://siafe.sefaz.ce.gov.br/Siafe/downloadSignature?token=375cc59d30134fe1b7d89421fa2176f7","2026NE000382")</f>
        <v>2026NE000382</v>
      </c>
      <c r="H170" s="6">
        <v>150000</v>
      </c>
      <c r="I170" s="7" t="s">
        <v>229</v>
      </c>
      <c r="J170" s="10" t="s">
        <v>230</v>
      </c>
      <c r="L170" s="13"/>
    </row>
    <row r="171" spans="1:12" ht="38.25" x14ac:dyDescent="0.25">
      <c r="A171" s="12" t="s">
        <v>122</v>
      </c>
      <c r="B171" s="2" t="s">
        <v>186</v>
      </c>
      <c r="C171" s="3" t="str">
        <f>HYPERLINK("https://transparencia-area-fim.mpce.mp.br/#/consulta/processo/pastadigital/092026000011073","09.2026.00001107-3")</f>
        <v>09.2026.00001107-3</v>
      </c>
      <c r="D171" s="4">
        <v>46080</v>
      </c>
      <c r="E171" s="16" t="s">
        <v>288</v>
      </c>
      <c r="F171" s="2" t="s">
        <v>188</v>
      </c>
      <c r="G171" s="5" t="str">
        <f>HYPERLINK("https://siafe.sefaz.ce.gov.br/Siafe/downloadSignature?token=ca68de8574984c659920ef4a203dca73","2026NE000385")</f>
        <v>2026NE000385</v>
      </c>
      <c r="H171" s="6">
        <v>50000</v>
      </c>
      <c r="I171" s="7" t="s">
        <v>72</v>
      </c>
      <c r="J171" s="10" t="s">
        <v>220</v>
      </c>
      <c r="L171" s="13"/>
    </row>
    <row r="172" spans="1:12" ht="38.25" x14ac:dyDescent="0.25">
      <c r="A172" s="12" t="s">
        <v>122</v>
      </c>
      <c r="B172" s="2" t="s">
        <v>203</v>
      </c>
      <c r="C172" s="3" t="str">
        <f>HYPERLINK("https://transparencia-area-fim.mpce.mp.br/#/consulta/processo/pastadigital/092021000189150","09.2021.00018915-0")</f>
        <v>09.2021.00018915-0</v>
      </c>
      <c r="D172" s="4">
        <v>46134</v>
      </c>
      <c r="E172" s="16" t="str">
        <f>HYPERLINK("https://www8.mpce.mp.br/Empenhos/150001/Objeto/09-2022.pdf","EMPENHO REF. SERVIÇOS DE EXTENSÃO DE GARANTIA PARA O DATA CENTER, CONF. CONTRATO 009/2022, REF. ABR/2026, POR ESTIMATIVA.")</f>
        <v>EMPENHO REF. SERVIÇOS DE EXTENSÃO DE GARANTIA PARA O DATA CENTER, CONF. CONTRATO 009/2022, REF. ABR/2026, POR ESTIMATIVA.</v>
      </c>
      <c r="F172" s="2" t="s">
        <v>204</v>
      </c>
      <c r="G172" s="5" t="str">
        <f>HYPERLINK("https://siafe.sefaz.ce.gov.br/Siafe/downloadSignature?token=0c1e99c08e7c4641974780a0e87379b2","2026NE000405")</f>
        <v>2026NE000405</v>
      </c>
      <c r="H172" s="6">
        <v>19992.2</v>
      </c>
      <c r="I172" s="7" t="s">
        <v>63</v>
      </c>
      <c r="J172" s="10" t="s">
        <v>205</v>
      </c>
      <c r="L172" s="13"/>
    </row>
    <row r="173" spans="1:12" ht="51" x14ac:dyDescent="0.25">
      <c r="A173" s="12" t="s">
        <v>111</v>
      </c>
      <c r="B173" s="2" t="s">
        <v>269</v>
      </c>
      <c r="C173" s="3" t="str">
        <f>HYPERLINK("https://transparencia-area-fim.mpce.mp.br/#/consulta/processo/pastadigital/092024000382620","09.2024.00038262-0")</f>
        <v>09.2024.00038262-0</v>
      </c>
      <c r="D173" s="4">
        <v>46113</v>
      </c>
      <c r="E173" s="16" t="str">
        <f>HYPERLINK("https://www8.mpce.mp.br/Empenhos/150001/Objeto/02-2025.pdf","EMPENHO REF. SERVIÇOS DE SUPORTE E FORNECIMENTO DOS SERVIÇOS COMPUTACIONAIS DA PLATAFORMA GOOGLE MAPS, CONF. CONTRATO 002/2025, REF. ABR, MAIO E JUN/2026, POR ESTIMATIVA.")</f>
        <v>EMPENHO REF. SERVIÇOS DE SUPORTE E FORNECIMENTO DOS SERVIÇOS COMPUTACIONAIS DA PLATAFORMA GOOGLE MAPS, CONF. CONTRATO 002/2025, REF. ABR, MAIO E JUN/2026, POR ESTIMATIVA.</v>
      </c>
      <c r="F173" s="2" t="s">
        <v>257</v>
      </c>
      <c r="G173" s="5" t="str">
        <f>HYPERLINK("https://siafe.sefaz.ce.gov.br/Siafe/downloadSignature?token=78ee7fea6ad245aca3cc558471e3829e","2026NE000409")</f>
        <v>2026NE000409</v>
      </c>
      <c r="H173" s="6">
        <v>900</v>
      </c>
      <c r="I173" s="7" t="s">
        <v>80</v>
      </c>
      <c r="J173" s="10" t="s">
        <v>270</v>
      </c>
      <c r="L173" s="13"/>
    </row>
    <row r="174" spans="1:12" ht="51" x14ac:dyDescent="0.25">
      <c r="A174" s="12" t="s">
        <v>122</v>
      </c>
      <c r="B174" s="2" t="s">
        <v>199</v>
      </c>
      <c r="C174" s="3" t="str">
        <f>HYPERLINK("https://transparencia-area-fim.mpce.mp.br/#/consulta/processo/pastadigital/092023000287946","09.2023.00028794-6")</f>
        <v>09.2023.00028794-6</v>
      </c>
      <c r="D174" s="4">
        <v>46113</v>
      </c>
      <c r="E174" s="16" t="str">
        <f>HYPERLINK("https://www8.mpce.mp.br/Empenhos/150001/Objeto/59-2023.pdf","EMPENHO REF. LICENÇAS DE SOFTWARE, INCLUINDO IMPLANTAÇÃO, TREINAMENTO, ATUALIZAÇÃO E SUPORTE TÉCNICO, CONF. CONTRATO 059/2023, REF. ABR, MAIO E JUN/2026, POR ESTIMATIVA.")</f>
        <v>EMPENHO REF. LICENÇAS DE SOFTWARE, INCLUINDO IMPLANTAÇÃO, TREINAMENTO, ATUALIZAÇÃO E SUPORTE TÉCNICO, CONF. CONTRATO 059/2023, REF. ABR, MAIO E JUN/2026, POR ESTIMATIVA.</v>
      </c>
      <c r="F174" s="2" t="s">
        <v>200</v>
      </c>
      <c r="G174" s="5" t="str">
        <f>HYPERLINK("https://siafe.sefaz.ce.gov.br/Siafe/downloadSignature?token=c550704da6dc4985b33ff72d0cea7ee6","2026NE000410")</f>
        <v>2026NE000410</v>
      </c>
      <c r="H174" s="6">
        <v>7984.11</v>
      </c>
      <c r="I174" s="7" t="s">
        <v>52</v>
      </c>
      <c r="J174" s="10" t="s">
        <v>201</v>
      </c>
      <c r="L174" s="13"/>
    </row>
    <row r="175" spans="1:12" ht="38.25" x14ac:dyDescent="0.25">
      <c r="A175" s="12" t="s">
        <v>111</v>
      </c>
      <c r="B175" s="2" t="s">
        <v>182</v>
      </c>
      <c r="C175" s="3" t="str">
        <f>HYPERLINK("https://transparencia-area-fim.mpce.mp.br/#/consulta/processo/pastadigital/092023000117363","09.2023.00011736-3")</f>
        <v>09.2023.00011736-3</v>
      </c>
      <c r="D175" s="4">
        <v>46113</v>
      </c>
      <c r="E175" s="16" t="str">
        <f>HYPERLINK("https://www8.mpce.mp.br/Empenhos/150001/Objeto/32-2023.pdf","EMPENHO REF. DISPONIBILIZAÇÃO DE SOLUÇÃO TECNOLÓGICA, NA MODALIDADE SOFTWARE (SAAS), CONF. CONTRATO 032/2023, REF. ABR/2026, POR ESTIMATIVA.")</f>
        <v>EMPENHO REF. DISPONIBILIZAÇÃO DE SOLUÇÃO TECNOLÓGICA, NA MODALIDADE SOFTWARE (SAAS), CONF. CONTRATO 032/2023, REF. ABR/2026, POR ESTIMATIVA.</v>
      </c>
      <c r="F175" s="2" t="s">
        <v>185</v>
      </c>
      <c r="G175" s="5" t="str">
        <f>HYPERLINK("https://siafe.sefaz.ce.gov.br/Siafe/downloadSignature?token=a5d1649aeceb4f6981a5962c3e577796","2026NE000413")</f>
        <v>2026NE000413</v>
      </c>
      <c r="H175" s="6">
        <v>6216.42</v>
      </c>
      <c r="I175" s="7" t="s">
        <v>50</v>
      </c>
      <c r="J175" s="10" t="s">
        <v>184</v>
      </c>
      <c r="L175" s="13"/>
    </row>
    <row r="176" spans="1:12" ht="38.25" x14ac:dyDescent="0.25">
      <c r="A176" s="12" t="s">
        <v>111</v>
      </c>
      <c r="B176" s="2" t="s">
        <v>182</v>
      </c>
      <c r="C176" s="3" t="str">
        <f>HYPERLINK("https://transparencia-area-fim.mpce.mp.br/#/consulta/processo/pastadigital/092024000176845","09.2024.00017684-5")</f>
        <v>09.2024.00017684-5</v>
      </c>
      <c r="D176" s="4">
        <v>46140</v>
      </c>
      <c r="E176" s="16" t="str">
        <f>HYPERLINK("https://www8.mpce.mp.br/Empenhos/150001/Objeto/58-2024.pdf","EMPENHO REF. SERVIÇOS ESPECIALIZADOS EM SEGURANÇA (ANTIVÍRUS), CONF. CONTRATO 058/2024, REF. ABR/2026, POR ESTIMATIVA.")</f>
        <v>EMPENHO REF. SERVIÇOS ESPECIALIZADOS EM SEGURANÇA (ANTIVÍRUS), CONF. CONTRATO 058/2024, REF. ABR/2026, POR ESTIMATIVA.</v>
      </c>
      <c r="F176" s="2" t="s">
        <v>183</v>
      </c>
      <c r="G176" s="5" t="str">
        <f>HYPERLINK("https://siafe.sefaz.ce.gov.br/Siafe/downloadSignature?token=ebf8689bfd024a329efbee10c333f68e","2026NE000414")</f>
        <v>2026NE000414</v>
      </c>
      <c r="H176" s="6">
        <v>129258.54</v>
      </c>
      <c r="I176" s="7" t="s">
        <v>50</v>
      </c>
      <c r="J176" s="10" t="s">
        <v>184</v>
      </c>
      <c r="L176" s="13"/>
    </row>
    <row r="177" spans="1:12" ht="51" x14ac:dyDescent="0.25">
      <c r="A177" s="12" t="s">
        <v>111</v>
      </c>
      <c r="B177" s="2" t="s">
        <v>115</v>
      </c>
      <c r="C177" s="3" t="str">
        <f>HYPERLINK("https://transparencia-area-fim.mpce.mp.br/#/consulta/processo/pastadigital/092023000338541","09.2023.00033854-1")</f>
        <v>09.2023.00033854-1</v>
      </c>
      <c r="D177" s="4">
        <v>46120</v>
      </c>
      <c r="E177" s="16" t="str">
        <f>HYPERLINK("https://www8.mpce.mp.br/Empenhos/150001/Objeto/36-2024.pdf","EMPENHO ESCRITURAL REF. ALUGUEL DE IMÓVEL ONDE FUNCIONAM PROMOTORIAS DE JUSTIÇA DA COMARCA DE MORADA NOVA, CONF. CONTRATO 036/2024, REF. JAN, 2026, POR ESTIMATIVA.SAC - 051966-2"&amp;"/2026")</f>
        <v>EMPENHO ESCRITURAL REF. ALUGUEL DE IMÓVEL ONDE FUNCIONAM PROMOTORIAS DE JUSTIÇA DA COMARCA DE MORADA NOVA, CONF. CONTRATO 036/2024, REF. JAN, 2026, POR ESTIMATIVA.SAC - 051966-2/2026</v>
      </c>
      <c r="F177" s="2" t="s">
        <v>121</v>
      </c>
      <c r="G177" s="5" t="str">
        <f>HYPERLINK("https://siafe.sefaz.ce.gov.br/Siafe/downloadSignature?token=e16bbeae6f27453f8a7c30a1d3dd4ccf","2026NE000417")</f>
        <v>2026NE000417</v>
      </c>
      <c r="H177" s="6">
        <v>18387.5</v>
      </c>
      <c r="I177" s="7" t="s">
        <v>27</v>
      </c>
      <c r="J177" s="10" t="s">
        <v>134</v>
      </c>
    </row>
    <row r="178" spans="1:12" ht="51" x14ac:dyDescent="0.25">
      <c r="A178" s="12" t="s">
        <v>111</v>
      </c>
      <c r="B178" s="2" t="s">
        <v>115</v>
      </c>
      <c r="C178" s="3" t="str">
        <f>HYPERLINK("https://transparencia-area-fim.mpce.mp.br/#/consulta/processo/pastadigital/092021000079244","09.2021.00007924-4")</f>
        <v>09.2021.00007924-4</v>
      </c>
      <c r="D178" s="4">
        <v>46120</v>
      </c>
      <c r="E178" s="16" t="str">
        <f>HYPERLINK("https://www8.mpce.mp.br/Empenhos/150001/Objeto/27-2021.pdf","EMPENHO ESCRITURAL REF. TAXAS CONDOMINIAIS DE IMÓVEL ONDE FUNCIONAM PROMOTORIAS DE JUSTIÇA DA COMARCA DE EUSÉBIO, CONF. CONTRATO 027/2021, REF. JAN, /2026, POR ESTIMATIVA.SAC - "&amp;"051966-2/2026")</f>
        <v>EMPENHO ESCRITURAL REF. TAXAS CONDOMINIAIS DE IMÓVEL ONDE FUNCIONAM PROMOTORIAS DE JUSTIÇA DA COMARCA DE EUSÉBIO, CONF. CONTRATO 027/2021, REF. JAN, /2026, POR ESTIMATIVA.SAC - 051966-2/2026</v>
      </c>
      <c r="F178" s="2" t="s">
        <v>119</v>
      </c>
      <c r="G178" s="5" t="str">
        <f>HYPERLINK("https://siafe.sefaz.ce.gov.br/Siafe/downloadSignature?token=fa653f512de14e45bcf4d391ac2073ee","2026NE000418")</f>
        <v>2026NE000418</v>
      </c>
      <c r="H178" s="6">
        <v>1688.58</v>
      </c>
      <c r="I178" s="7" t="s">
        <v>42</v>
      </c>
      <c r="J178" s="10" t="s">
        <v>120</v>
      </c>
      <c r="L178" s="13"/>
    </row>
    <row r="179" spans="1:12" ht="51" x14ac:dyDescent="0.25">
      <c r="A179" s="12" t="s">
        <v>111</v>
      </c>
      <c r="B179" s="2" t="s">
        <v>115</v>
      </c>
      <c r="C179" s="3" t="str">
        <f>HYPERLINK("http://www8.mpce.mp.br/Dispensa/4503020176.pdf","45030/2017-6")</f>
        <v>45030/2017-6</v>
      </c>
      <c r="D179" s="4">
        <v>46120</v>
      </c>
      <c r="E179" s="16" t="str">
        <f>HYPERLINK("https://www8.mpce.mp.br/Empenhos/150001/Objeto/74-2019.pdf","EMPENHO ESCRITURAL REF. ALUGUEL DE IMÓVEL QUE ABRIGA PROMOTORIAS DE JUSTIÇA DA COMARCA DE GRANJA-CE, CONF. CONTRATO 074/2019, REF. JAN, /2026, POR ESTIMATIVA.SAC - 051966-2/2026")</f>
        <v>EMPENHO ESCRITURAL REF. ALUGUEL DE IMÓVEL QUE ABRIGA PROMOTORIAS DE JUSTIÇA DA COMARCA DE GRANJA-CE, CONF. CONTRATO 074/2019, REF. JAN, /2026, POR ESTIMATIVA.SAC - 051966-2/2026</v>
      </c>
      <c r="F179" s="2" t="s">
        <v>113</v>
      </c>
      <c r="G179" s="5" t="str">
        <f>HYPERLINK("https://siafe.sefaz.ce.gov.br/Siafe/downloadSignature?token=a8afb2139414470996a367f207c555a0","2026NE000419")</f>
        <v>2026NE000419</v>
      </c>
      <c r="H179" s="6">
        <v>2335.64</v>
      </c>
      <c r="I179" s="7" t="s">
        <v>88</v>
      </c>
      <c r="J179" s="10" t="s">
        <v>118</v>
      </c>
      <c r="L179" s="13"/>
    </row>
    <row r="180" spans="1:12" ht="114.75" x14ac:dyDescent="0.25">
      <c r="A180" s="12" t="s">
        <v>122</v>
      </c>
      <c r="B180" s="2" t="s">
        <v>248</v>
      </c>
      <c r="C180" s="3" t="str">
        <f>HYPERLINK("https://transparencia-area-fim.mpce.mp.br/#/consulta/processo/pastadigital/092026000076812","09.2026.00007681-2")</f>
        <v>09.2026.00007681-2</v>
      </c>
      <c r="D180" s="4">
        <v>46118</v>
      </c>
      <c r="E180" s="16" t="str">
        <f>HYPERLINK("https://www8.mpce.mp.br/Empenhos/150001/Objeto/-2024-1.pdf","EMPENHO REF.  CONTRATAÇÃO DE EMPRESA ESPECIALIZADA PARA A PRESTAÇÃO DOSSERVIÇOS DE LICENCIAMENTO OU CESSÃO DE DIREITO DE USO DE PROGRAMAS DE COMPUTAÇÃO(HARDWARES E SOFTWARES BÁS"&amp;"ICOS INTEGRADOS AOS HARDWARES) INSTALADOS NO DATACENTER DAPGJ/CE, INCLUINDO O SERVIÇOS DE MANUTENÇÃO TÉCNICO REMOTO, CONF. CONTRATO 003/2024, REF. ABR, MAIO E JUN/2026, POR ESTIMATIVA.")</f>
        <v>EMPENHO REF.  CONTRATAÇÃO DE EMPRESA ESPECIALIZADA PARA A PRESTAÇÃO DOSSERVIÇOS DE LICENCIAMENTO OU CESSÃO DE DIREITO DE USO DE PROGRAMAS DE COMPUTAÇÃO(HARDWARES E SOFTWARES BÁSICOS INTEGRADOS AOS HARDWARES) INSTALADOS NO DATACENTER DAPGJ/CE, INCLUINDO O SERVIÇOS DE MANUTENÇÃO TÉCNICO REMOTO, CONF. CONTRATO 003/2024, REF. ABR, MAIO E JUN/2026, POR ESTIMATIVA.</v>
      </c>
      <c r="F180" s="2" t="s">
        <v>249</v>
      </c>
      <c r="G180" s="5" t="str">
        <f>HYPERLINK("https://siafe.sefaz.ce.gov.br/Siafe/downloadSignature?token=5479098b735344dc838a424a68439f9d","2026NE000421")</f>
        <v>2026NE000421</v>
      </c>
      <c r="H180" s="6">
        <v>4400.46</v>
      </c>
      <c r="I180" s="7" t="s">
        <v>54</v>
      </c>
      <c r="J180" s="10" t="s">
        <v>251</v>
      </c>
      <c r="L180" s="13"/>
    </row>
    <row r="181" spans="1:12" ht="76.5" x14ac:dyDescent="0.25">
      <c r="A181" s="12" t="s">
        <v>122</v>
      </c>
      <c r="B181" s="2" t="s">
        <v>248</v>
      </c>
      <c r="C181" s="3" t="str">
        <f>HYPERLINK("https://transparencia-area-fim.mpce.mp.br/#/consulta/processo/pastadigital/092023000254844","09.2023.00025484-4")</f>
        <v>09.2023.00025484-4</v>
      </c>
      <c r="D181" s="4">
        <v>46118</v>
      </c>
      <c r="E181" s="16" t="str">
        <f>HYPERLINK("https://www8.mpce.mp.br/Empenhos/150001/Objeto/03-2024.pdf","EMPENHO REF. CONTRATAÇÃO DE EMPRESA ESPECIALIZADA PARA A PRESTAÇÃO DOS SERVIÇOSDE EXTENSÃO DE GARANTIA PARA OS EQUIPAMENTOS, INCLUINDO O SERVIÇO DE MANUTENÇÃO TÉCNICOREMOTO, CON"&amp;"F. CONTRATO 003/2024, REF. ABRIL, MAIO E JUNH/2026, POR ESTIMATIVA.")</f>
        <v>EMPENHO REF. CONTRATAÇÃO DE EMPRESA ESPECIALIZADA PARA A PRESTAÇÃO DOS SERVIÇOSDE EXTENSÃO DE GARANTIA PARA OS EQUIPAMENTOS, INCLUINDO O SERVIÇO DE MANUTENÇÃO TÉCNICOREMOTO, CONF. CONTRATO 003/2024, REF. ABRIL, MAIO E JUNH/2026, POR ESTIMATIVA.</v>
      </c>
      <c r="F181" s="2" t="s">
        <v>249</v>
      </c>
      <c r="G181" s="5" t="str">
        <f>HYPERLINK("https://siafe.sefaz.ce.gov.br/Siafe/downloadSignature?token=8bdbf0bdf40148628d1d88495b6f91ba","2026NE000422")</f>
        <v>2026NE000422</v>
      </c>
      <c r="H181" s="6">
        <v>5846.28</v>
      </c>
      <c r="I181" s="7" t="s">
        <v>54</v>
      </c>
      <c r="J181" s="10" t="s">
        <v>250</v>
      </c>
      <c r="L181" s="13"/>
    </row>
    <row r="182" spans="1:12" ht="60" x14ac:dyDescent="0.25">
      <c r="A182" s="12" t="s">
        <v>111</v>
      </c>
      <c r="B182" s="2" t="s">
        <v>151</v>
      </c>
      <c r="C182" s="3" t="str">
        <f>HYPERLINK("https://transparencia-area-fim.mpce.mp.br/#/consulta/processo/pastadigital/092026000095820","09.2026.00009582-0")</f>
        <v>09.2026.00009582-0</v>
      </c>
      <c r="D182" s="4">
        <v>46126</v>
      </c>
      <c r="E182" s="17" t="str">
        <f>HYPERLINK("https://www8.mpce.mp.br/Empenhos/150001/Objeto/16-2017.pdf","EMPENHO REF. ALUGUEL DE IMÓVEL ONDE FUNCIONAM PROMOTORIAS DE JUSTIÇA DA COMARCA CRIMINAIS DE FORTALEZA, CONF. CONTRATO 016/2017, REF. IPTU/2026 DA 2ª À 11ª PARCELA, POR ESTIMATIVA.")</f>
        <v>EMPENHO REF. ALUGUEL DE IMÓVEL ONDE FUNCIONAM PROMOTORIAS DE JUSTIÇA DA COMARCA CRIMINAIS DE FORTALEZA, CONF. CONTRATO 016/2017, REF. IPTU/2026 DA 2ª À 11ª PARCELA, POR ESTIMATIVA.</v>
      </c>
      <c r="F182" s="2" t="s">
        <v>121</v>
      </c>
      <c r="G182" s="5" t="str">
        <f>HYPERLINK("https://siafe.sefaz.ce.gov.br/Siafe/downloadSignature?token=d07927c4067345e9b34f29a951449395","2026NE000427")</f>
        <v>2026NE000427</v>
      </c>
      <c r="H182" s="6">
        <v>28632.1</v>
      </c>
      <c r="I182" s="7" t="s">
        <v>29</v>
      </c>
      <c r="J182" s="10" t="s">
        <v>154</v>
      </c>
      <c r="L182" s="13"/>
    </row>
    <row r="183" spans="1:12" ht="89.25" x14ac:dyDescent="0.25">
      <c r="A183" s="12" t="s">
        <v>122</v>
      </c>
      <c r="B183" s="2" t="s">
        <v>290</v>
      </c>
      <c r="C183" s="3" t="str">
        <f>HYPERLINK("https://transparencia-area-fim.mpce.mp.br/#/consulta/processo/pastadigital/092022000400426","09.2022.00040042-6")</f>
        <v>09.2022.00040042-6</v>
      </c>
      <c r="D183" s="4">
        <v>46085</v>
      </c>
      <c r="E183" s="16" t="str">
        <f>HYPERLINK("https://www8.mpce.mp.br/Empenhos/150001/Objeto/07-2023.pdf","EMPENHO REFERENTE A PRESTAÇÃO DE SERVIÇOS DA EMPRESA MINHA BIBLIOTECA LTDA, ATRAVÉS DA QUAL SERÁ DISPONIBILIZADA 501 LICENÇAS PARA ACESSO AO ACERVO DIGITAL DE SUAS OBRAS AOS MEM"&amp;"BROS E SERVIDORES DO MINISTÉRIO PÚBLICO DO ESTADO DO CEARÁ, ANO 2026, CONFORME 3º ADITIVO AO CONTRATO Nº 007/2023/PGJ, POR ESTIMATIVA.")</f>
        <v>EMPENHO REFERENTE A PRESTAÇÃO DE SERVIÇOS DA EMPRESA MINHA BIBLIOTECA LTDA, ATRAVÉS DA QUAL SERÁ DISPONIBILIZADA 501 LICENÇAS PARA ACESSO AO ACERVO DIGITAL DE SUAS OBRAS AOS MEMBROS E SERVIDORES DO MINISTÉRIO PÚBLICO DO ESTADO DO CEARÁ, ANO 2026, CONFORME 3º ADITIVO AO CONTRATO Nº 007/2023/PGJ, POR ESTIMATIVA.</v>
      </c>
      <c r="F183" s="2" t="s">
        <v>263</v>
      </c>
      <c r="G183" s="5" t="str">
        <f>HYPERLINK("https://siafe.sefaz.ce.gov.br/Siafe/downloadSignature?token=ffcf8cd73aa5496293d954e7a6852456","2026NE000430")</f>
        <v>2026NE000430</v>
      </c>
      <c r="H183" s="6">
        <v>95437.25</v>
      </c>
      <c r="I183" s="7" t="s">
        <v>291</v>
      </c>
      <c r="J183" s="10" t="s">
        <v>292</v>
      </c>
      <c r="L183" s="13"/>
    </row>
    <row r="184" spans="1:12" ht="127.5" x14ac:dyDescent="0.25">
      <c r="A184" s="12" t="s">
        <v>122</v>
      </c>
      <c r="B184" s="2" t="s">
        <v>293</v>
      </c>
      <c r="C184" s="3" t="str">
        <f>HYPERLINK("https://transparencia-area-fim.mpce.mp.br/#/consulta/processo/pastadigital/092026000050199","09.2026.00005019-9")</f>
        <v>09.2026.00005019-9</v>
      </c>
      <c r="D184" s="4">
        <v>46087</v>
      </c>
      <c r="E184" s="16" t="s">
        <v>294</v>
      </c>
      <c r="F184" s="2" t="s">
        <v>254</v>
      </c>
      <c r="G184" s="5" t="str">
        <f>HYPERLINK("https://siafe.sefaz.ce.gov.br/Siafe/downloadSignature?token=8c191c25e17443fab1853282e6ea62e2","2026NE000454")</f>
        <v>2026NE000454</v>
      </c>
      <c r="H184" s="6">
        <v>69257</v>
      </c>
      <c r="I184" s="7" t="s">
        <v>295</v>
      </c>
      <c r="J184" s="10" t="s">
        <v>296</v>
      </c>
      <c r="L184" s="13"/>
    </row>
    <row r="185" spans="1:12" ht="38.25" x14ac:dyDescent="0.25">
      <c r="A185" s="12" t="s">
        <v>111</v>
      </c>
      <c r="B185" s="2" t="s">
        <v>115</v>
      </c>
      <c r="C185" s="3" t="str">
        <f>HYPERLINK("http://www8.mpce.mp.br/Dispensa/4503020176.pdf","45030/2017-6")</f>
        <v>45030/2017-6</v>
      </c>
      <c r="D185" s="4">
        <v>46122</v>
      </c>
      <c r="E185" s="16" t="str">
        <f>HYPERLINK("https://www8.mpce.mp.br/Empenhos/150001/Objeto/74-2019.pdf","EMPENHO  IPTU  DE IMÓVEL QUE ABRIGA PROMOTORIAS DE JUSTIÇA DA COMARCA DE GRANJA-CE, CONF. CONTRATO 074/2019, REF. IPTU/2026, POR ESTIMATIVA.")</f>
        <v>EMPENHO  IPTU  DE IMÓVEL QUE ABRIGA PROMOTORIAS DE JUSTIÇA DA COMARCA DE GRANJA-CE, CONF. CONTRATO 074/2019, REF. IPTU/2026, POR ESTIMATIVA.</v>
      </c>
      <c r="F185" s="2" t="s">
        <v>113</v>
      </c>
      <c r="G185" s="5" t="str">
        <f>HYPERLINK("https://siafe.sefaz.ce.gov.br/Siafe/downloadSignature?token=9e12bdbd5fa34e67b95f7306584833b2","2026NE000466")</f>
        <v>2026NE000466</v>
      </c>
      <c r="H185" s="6">
        <v>296.01</v>
      </c>
      <c r="I185" s="7" t="s">
        <v>88</v>
      </c>
      <c r="J185" s="10" t="s">
        <v>118</v>
      </c>
      <c r="L185" s="13"/>
    </row>
    <row r="186" spans="1:12" ht="38.25" x14ac:dyDescent="0.25">
      <c r="A186" s="12" t="s">
        <v>122</v>
      </c>
      <c r="B186" s="2" t="s">
        <v>206</v>
      </c>
      <c r="C186" s="3" t="str">
        <f>HYPERLINK("https://transparencia-area-fim.mpce.mp.br/#/consulta/processo/pastadigital/092023000255300","09.2023.00025530-0")</f>
        <v>09.2023.00025530-0</v>
      </c>
      <c r="D186" s="4">
        <v>46135</v>
      </c>
      <c r="E186" s="16" t="str">
        <f>HYPERLINK("https://www8.mpce.mp.br/Empenhos/150001/Objeto/42-2024.pdf","EMPENHO REFERENTE AOS SERVIÇOS DE ACOMPANHAMENTO DA OPERAÇÃO SAJ-MP, CONFORME CONTRATO 042/2024, REF, ABR/2026, POR ESTIMATIVA.")</f>
        <v>EMPENHO REFERENTE AOS SERVIÇOS DE ACOMPANHAMENTO DA OPERAÇÃO SAJ-MP, CONFORME CONTRATO 042/2024, REF, ABR/2026, POR ESTIMATIVA.</v>
      </c>
      <c r="F186" s="2" t="s">
        <v>257</v>
      </c>
      <c r="G186" s="5" t="str">
        <f>HYPERLINK("https://siafe.sefaz.ce.gov.br/Siafe/downloadSignature?token=aa6a6bbab2734df3ae4a4840b0d0b8e7","2026NE000472")</f>
        <v>2026NE000472</v>
      </c>
      <c r="H186" s="6">
        <v>76732.84</v>
      </c>
      <c r="I186" s="7" t="s">
        <v>70</v>
      </c>
      <c r="J186" s="10" t="s">
        <v>207</v>
      </c>
      <c r="L186" s="13"/>
    </row>
    <row r="187" spans="1:12" ht="63.75" x14ac:dyDescent="0.25">
      <c r="A187" s="12" t="s">
        <v>111</v>
      </c>
      <c r="B187" s="2" t="s">
        <v>182</v>
      </c>
      <c r="C187" s="3" t="str">
        <f>HYPERLINK("https://transparencia-area-fim.mpce.mp.br/#/consulta/processo/pastadigital/092023000388810","09.2023.00038881-0")</f>
        <v>09.2023.00038881-0</v>
      </c>
      <c r="D187" s="4">
        <v>46135</v>
      </c>
      <c r="E187" s="16" t="str">
        <f>HYPERLINK("https://www8.mpce.mp.br/Empenhos/150001/Objeto/22-2024.pdf","EMPENHO REF. SERVIÇOS DE SOLUÇÃO EM NUVEM DE PROTEÇÃO, GESTÃO, AVALIAÇÃO DE POSTURA E CONECTIVIDADE PARA NUVEM, INCLUINDO IMPLANTAÇÃO, MONITORAMENTO E SUPORTE TÉCNICO, CONF. CON"&amp;"TRATO 022/2024, REF. ABR/2026, POR ESTIMATIVA.")</f>
        <v>EMPENHO REF. SERVIÇOS DE SOLUÇÃO EM NUVEM DE PROTEÇÃO, GESTÃO, AVALIAÇÃO DE POSTURA E CONECTIVIDADE PARA NUVEM, INCLUINDO IMPLANTAÇÃO, MONITORAMENTO E SUPORTE TÉCNICO, CONF. CONTRATO 022/2024, REF. ABR/2026, POR ESTIMATIVA.</v>
      </c>
      <c r="F187" s="2" t="s">
        <v>183</v>
      </c>
      <c r="G187" s="5" t="str">
        <f>HYPERLINK("https://siafe.sefaz.ce.gov.br/Siafe/downloadSignature?token=029f8f13caf244268e87831215c501ba","2026NE000474")</f>
        <v>2026NE000474</v>
      </c>
      <c r="H187" s="6">
        <v>35718.5</v>
      </c>
      <c r="I187" s="7" t="s">
        <v>50</v>
      </c>
      <c r="J187" s="10" t="s">
        <v>184</v>
      </c>
      <c r="L187" s="13"/>
    </row>
    <row r="188" spans="1:12" ht="38.25" x14ac:dyDescent="0.25">
      <c r="A188" s="12" t="s">
        <v>111</v>
      </c>
      <c r="B188" s="2" t="s">
        <v>159</v>
      </c>
      <c r="C188" s="3" t="str">
        <f>HYPERLINK("https://transparencia-area-fim.mpce.mp.br/#/consulta/processo/pastadigital/092026000019787","09.2026.00001978-7")</f>
        <v>09.2026.00001978-7</v>
      </c>
      <c r="D188" s="4">
        <v>46122</v>
      </c>
      <c r="E188" s="16" t="str">
        <f>HYPERLINK("https://www8.mpce.mp.br/Empenhos/150001/Objeto/02-2026.pdf","PRESTAÇÃO DE SERVIÇOS DE LINKS DE DADOS REFERENTE ABR/2026 CONFORME CONTRATO 002/2026.")</f>
        <v>PRESTAÇÃO DE SERVIÇOS DE LINKS DE DADOS REFERENTE ABR/2026 CONFORME CONTRATO 002/2026.</v>
      </c>
      <c r="F188" s="2" t="s">
        <v>279</v>
      </c>
      <c r="G188" s="5" t="str">
        <f>HYPERLINK("https://siafe.sefaz.ce.gov.br/Siafe/downloadSignature?token=8fd34a7df201453ab87c73b5311e345c","2026NE000475")</f>
        <v>2026NE000475</v>
      </c>
      <c r="H188" s="6">
        <v>17737.150000000001</v>
      </c>
      <c r="I188" s="7" t="s">
        <v>50</v>
      </c>
      <c r="J188" s="10" t="s">
        <v>184</v>
      </c>
      <c r="L188" s="13"/>
    </row>
    <row r="189" spans="1:12" ht="51" x14ac:dyDescent="0.25">
      <c r="A189" s="12" t="s">
        <v>122</v>
      </c>
      <c r="B189" s="2" t="s">
        <v>206</v>
      </c>
      <c r="C189" s="3" t="str">
        <f>HYPERLINK("https://transparencia-area-fim.mpce.mp.br/#/consulta/processo/pastadigital/092023000255300","09.2023.00025530-0")</f>
        <v>09.2023.00025530-0</v>
      </c>
      <c r="D189" s="4">
        <v>46142</v>
      </c>
      <c r="E189" s="16" t="str">
        <f>HYPERLINK("https://www8.mpce.mp.br/Empenhos/150001/Objeto/42-2024.pdf","EMPENHO REFERENTE SERVIÇOS DE GARANTIA DE EVOLUÇÃO TECNOLÓGICA E FUNCIONAL - SAJ-MP, CONFORME CONTRATO 042/2024, REF. ABR/2026, POR ESTIMATIVA.")</f>
        <v>EMPENHO REFERENTE SERVIÇOS DE GARANTIA DE EVOLUÇÃO TECNOLÓGICA E FUNCIONAL - SAJ-MP, CONFORME CONTRATO 042/2024, REF. ABR/2026, POR ESTIMATIVA.</v>
      </c>
      <c r="F189" s="2" t="s">
        <v>257</v>
      </c>
      <c r="G189" s="5" t="str">
        <f>HYPERLINK("https://siafe.sefaz.ce.gov.br/Siafe/downloadSignature?token=a340102a61fa4c4c897cd24084b9c238","2026NE000476")</f>
        <v>2026NE000476</v>
      </c>
      <c r="H189" s="6">
        <v>161590.06</v>
      </c>
      <c r="I189" s="7" t="s">
        <v>70</v>
      </c>
      <c r="J189" s="10" t="s">
        <v>207</v>
      </c>
    </row>
    <row r="190" spans="1:12" ht="38.25" x14ac:dyDescent="0.25">
      <c r="A190" s="12" t="s">
        <v>122</v>
      </c>
      <c r="B190" s="2" t="s">
        <v>206</v>
      </c>
      <c r="C190" s="3" t="str">
        <f>HYPERLINK("https://transparencia-area-fim.mpce.mp.br/#/consulta/processo/pastadigital/092023000255300","09.2023.00025530-0")</f>
        <v>09.2023.00025530-0</v>
      </c>
      <c r="D190" s="4">
        <v>46150</v>
      </c>
      <c r="E190" s="16" t="str">
        <f>HYPERLINK("https://www8.mpce.mp.br/Empenhos/150001/Objeto/42-2024.pdf","EMPENHO REFERENTE SERVIÇOS DE SUPORTE 1° NÌVEL, CONFORME CONTRATO 042/2024, REF. ABR/ MAI /2026, POR ESTIMATIVA.")</f>
        <v>EMPENHO REFERENTE SERVIÇOS DE SUPORTE 1° NÌVEL, CONFORME CONTRATO 042/2024, REF. ABR/ MAI /2026, POR ESTIMATIVA.</v>
      </c>
      <c r="F190" s="2" t="s">
        <v>257</v>
      </c>
      <c r="G190" s="5" t="str">
        <f>HYPERLINK("https://siafe.sefaz.ce.gov.br/Siafe/downloadSignature?token=d84ee9a3a71545b69a111b7494edf32c","2026NE000479")</f>
        <v>2026NE000479</v>
      </c>
      <c r="H190" s="6">
        <v>352749.04</v>
      </c>
      <c r="I190" s="7" t="s">
        <v>70</v>
      </c>
      <c r="J190" s="10" t="s">
        <v>207</v>
      </c>
      <c r="L190" s="13"/>
    </row>
    <row r="191" spans="1:12" ht="38.25" x14ac:dyDescent="0.25">
      <c r="A191" s="12" t="s">
        <v>122</v>
      </c>
      <c r="B191" s="2" t="s">
        <v>206</v>
      </c>
      <c r="C191" s="3" t="str">
        <f>HYPERLINK("https://transparencia-area-fim.mpce.mp.br/#/consulta/processo/pastadigital/092023000255300","09.2023.00025530-0")</f>
        <v>09.2023.00025530-0</v>
      </c>
      <c r="D191" s="4">
        <v>46142</v>
      </c>
      <c r="E191" s="16" t="str">
        <f>HYPERLINK("https://www8.mpce.mp.br/Empenhos/150001/Objeto/42-2024.pdf","EMPENHO REF. SERVIÇO DO SISTEMA SAJ-MP HOSPEDAGEM EM NUVEM, CONF. CONTRATO 042/2024, REF. ABR/2026, POR ESTIMATIVA.")</f>
        <v>EMPENHO REF. SERVIÇO DO SISTEMA SAJ-MP HOSPEDAGEM EM NUVEM, CONF. CONTRATO 042/2024, REF. ABR/2026, POR ESTIMATIVA.</v>
      </c>
      <c r="F191" s="2" t="s">
        <v>200</v>
      </c>
      <c r="G191" s="5" t="str">
        <f>HYPERLINK("https://siafe.sefaz.ce.gov.br/Siafe/downloadSignature?token=78520faff9d94d88b8a01928e1c1f4e6","2026NE000480")</f>
        <v>2026NE000480</v>
      </c>
      <c r="H191" s="6">
        <v>110059.19</v>
      </c>
      <c r="I191" s="7" t="s">
        <v>70</v>
      </c>
      <c r="J191" s="10" t="s">
        <v>207</v>
      </c>
      <c r="L191" s="13"/>
    </row>
    <row r="192" spans="1:12" ht="38.25" x14ac:dyDescent="0.25">
      <c r="A192" s="12" t="s">
        <v>122</v>
      </c>
      <c r="B192" s="2" t="s">
        <v>206</v>
      </c>
      <c r="C192" s="3" t="str">
        <f>HYPERLINK("https://transparencia-area-fim.mpce.mp.br/#/consulta/processo/pastadigital/092023000255300","09.2023.00025530-0")</f>
        <v>09.2023.00025530-0</v>
      </c>
      <c r="D192" s="4">
        <v>46142</v>
      </c>
      <c r="E192" s="16" t="str">
        <f>HYPERLINK("https://www8.mpce.mp.br/Empenhos/150001/Objeto/42-2024.pdf","EMPENHO REFERENTE SERVIÇOS SOB DEMANDA SISTEMA SAJ-MP, CONFORME CONTRATO 042/2024, REF. ABR, MAIO E JUN/2026, POR ESTIMATIVA.")</f>
        <v>EMPENHO REFERENTE SERVIÇOS SOB DEMANDA SISTEMA SAJ-MP, CONFORME CONTRATO 042/2024, REF. ABR, MAIO E JUN/2026, POR ESTIMATIVA.</v>
      </c>
      <c r="F192" s="2" t="s">
        <v>257</v>
      </c>
      <c r="G192" s="5" t="str">
        <f>HYPERLINK("https://siafe.sefaz.ce.gov.br/Siafe/downloadSignature?token=8f75348ce4374bedacdc34ef83ac4324","2026NE000481")</f>
        <v>2026NE000481</v>
      </c>
      <c r="H192" s="6">
        <v>137617.44</v>
      </c>
      <c r="I192" s="7" t="s">
        <v>70</v>
      </c>
      <c r="J192" s="10" t="s">
        <v>207</v>
      </c>
      <c r="L192" s="13"/>
    </row>
    <row r="193" spans="1:12" ht="38.25" x14ac:dyDescent="0.25">
      <c r="A193" s="12" t="s">
        <v>122</v>
      </c>
      <c r="B193" s="2" t="s">
        <v>206</v>
      </c>
      <c r="C193" s="3" t="str">
        <f>HYPERLINK("https://transparencia-area-fim.mpce.mp.br/#/consulta/processo/pastadigital/092023000255300","09.2023.00025530-0")</f>
        <v>09.2023.00025530-0</v>
      </c>
      <c r="D193" s="4">
        <v>46122</v>
      </c>
      <c r="E193" s="16" t="str">
        <f>HYPERLINK("https://www8.mpce.mp.br/Empenhos/150001/Objeto/42-2024.pdf","EMPENHO REFERENTE SERVIÇOS DE SUPORTE ESTENDIDO, CONFORME CONTRATO 042/2024, REF. ABR/2026, POR ESTIMATIVA.")</f>
        <v>EMPENHO REFERENTE SERVIÇOS DE SUPORTE ESTENDIDO, CONFORME CONTRATO 042/2024, REF. ABR/2026, POR ESTIMATIVA.</v>
      </c>
      <c r="F193" s="2" t="s">
        <v>257</v>
      </c>
      <c r="G193" s="5" t="str">
        <f>HYPERLINK("https://siafe.sefaz.ce.gov.br/Siafe/downloadSignature?token=af48b83fdca445d3a1589e26ff8a9c03","2026NE000482")</f>
        <v>2026NE000482</v>
      </c>
      <c r="H193" s="6">
        <v>14636.18</v>
      </c>
      <c r="I193" s="7" t="s">
        <v>70</v>
      </c>
      <c r="J193" s="10" t="s">
        <v>207</v>
      </c>
      <c r="L193" s="13"/>
    </row>
    <row r="194" spans="1:12" ht="38.25" x14ac:dyDescent="0.25">
      <c r="A194" s="12" t="s">
        <v>122</v>
      </c>
      <c r="B194" s="2" t="s">
        <v>206</v>
      </c>
      <c r="C194" s="3" t="str">
        <f>HYPERLINK("https://transparencia-area-fim.mpce.mp.br/#/consulta/processo/pastadigital/092023000255300","09.2023.00025530-0")</f>
        <v>09.2023.00025530-0</v>
      </c>
      <c r="D194" s="4">
        <v>46141</v>
      </c>
      <c r="E194" s="16" t="str">
        <f>HYPERLINK("https://www8.mpce.mp.br/Empenhos/150001/Objeto/42-2024.pdf","EMPENHO REFERENTE SERVIÇOS DE SUSTENTAÇÃO SAJ-MP, CONFORME CONTRATO 042/2024, REF. ABR/2026, POR ESTIMATIVA.")</f>
        <v>EMPENHO REFERENTE SERVIÇOS DE SUSTENTAÇÃO SAJ-MP, CONFORME CONTRATO 042/2024, REF. ABR/2026, POR ESTIMATIVA.</v>
      </c>
      <c r="F194" s="2" t="s">
        <v>257</v>
      </c>
      <c r="G194" s="5" t="str">
        <f>HYPERLINK("https://siafe.sefaz.ce.gov.br/Siafe/downloadSignature?token=5d3164fbe6354ca9b97790a515033b43","2026NE000483")</f>
        <v>2026NE000483</v>
      </c>
      <c r="H194" s="6">
        <v>87002.58</v>
      </c>
      <c r="I194" s="7" t="s">
        <v>70</v>
      </c>
      <c r="J194" s="10" t="s">
        <v>207</v>
      </c>
      <c r="L194" s="13"/>
    </row>
    <row r="195" spans="1:12" ht="51" x14ac:dyDescent="0.25">
      <c r="A195" s="12" t="s">
        <v>111</v>
      </c>
      <c r="B195" s="2" t="s">
        <v>151</v>
      </c>
      <c r="C195" s="3" t="str">
        <f>HYPERLINK("https://transparencia-area-fim.mpce.mp.br/#/consulta/processo/pastadigital/092023000338552","09.2023.00033855-2")</f>
        <v>09.2023.00033855-2</v>
      </c>
      <c r="D195" s="4">
        <v>46126</v>
      </c>
      <c r="E195" s="16" t="str">
        <f>HYPERLINK("https://www8.mpce.mp.br/Empenhos/150001/Objeto/17-2024.pdf","EMPENHO REF. ALUGUEL DE IMÓVEL ONDE FUNCIONAM PROMOTORIAS DE JUSTIÇA DA COMARCA DE MARANGUAPE, CONF. CONTRATO 017/2024, REF. ABR/2026, POR ESTIMATIVA.")</f>
        <v>EMPENHO REF. ALUGUEL DE IMÓVEL ONDE FUNCIONAM PROMOTORIAS DE JUSTIÇA DA COMARCA DE MARANGUAPE, CONF. CONTRATO 017/2024, REF. ABR/2026, POR ESTIMATIVA.</v>
      </c>
      <c r="F195" s="2" t="s">
        <v>121</v>
      </c>
      <c r="G195" s="5" t="str">
        <f>HYPERLINK("https://siafe.sefaz.ce.gov.br/Siafe/downloadSignature?token=fdd9244334874377bebb5276293c7a83","2026NE000492")</f>
        <v>2026NE000492</v>
      </c>
      <c r="H195" s="6">
        <v>18000</v>
      </c>
      <c r="I195" s="7" t="s">
        <v>175</v>
      </c>
      <c r="J195" s="10" t="s">
        <v>176</v>
      </c>
      <c r="L195" s="13"/>
    </row>
    <row r="196" spans="1:12" ht="51" x14ac:dyDescent="0.25">
      <c r="A196" s="12" t="s">
        <v>111</v>
      </c>
      <c r="B196" s="2" t="s">
        <v>151</v>
      </c>
      <c r="C196" s="3" t="str">
        <f>HYPERLINK("https://transparencia-area-fim.mpce.mp.br/#/consulta/processo/pastadigital/092021000244271","09.2021.00024427-1")</f>
        <v>09.2021.00024427-1</v>
      </c>
      <c r="D196" s="4">
        <v>46126</v>
      </c>
      <c r="E196" s="16" t="str">
        <f>HYPERLINK("https://www8.mpce.mp.br/Empenhos/150001/Objeto/17-2022.pdf","EMPENHO REF. ALUGUEL DE IMÓVEL ONDE FUNCIONAM PROMOTORIAS DE JUSTIÇA DA COMARCA DE TIANGUÁ, CONF. CONTRATO 017/2022, REF. ABR/2026, POR ESTIMATIVA.")</f>
        <v>EMPENHO REF. ALUGUEL DE IMÓVEL ONDE FUNCIONAM PROMOTORIAS DE JUSTIÇA DA COMARCA DE TIANGUÁ, CONF. CONTRATO 017/2022, REF. ABR/2026, POR ESTIMATIVA.</v>
      </c>
      <c r="F196" s="2" t="s">
        <v>121</v>
      </c>
      <c r="G196" s="5" t="str">
        <f>HYPERLINK("https://siafe.sefaz.ce.gov.br/Siafe/downloadSignature?token=5a6c695a467d4f699e6cd8608226a1c1","2026NE000493")</f>
        <v>2026NE000493</v>
      </c>
      <c r="H196" s="6">
        <v>27319.5</v>
      </c>
      <c r="I196" s="7" t="s">
        <v>22</v>
      </c>
      <c r="J196" s="10" t="s">
        <v>174</v>
      </c>
      <c r="L196" s="13"/>
    </row>
    <row r="197" spans="1:12" ht="51" x14ac:dyDescent="0.25">
      <c r="A197" s="12" t="s">
        <v>111</v>
      </c>
      <c r="B197" s="2" t="s">
        <v>151</v>
      </c>
      <c r="C197" s="3" t="str">
        <f>HYPERLINK("https://transparencia-area-fim.mpce.mp.br/#/consulta/processo/pastadigital/092022000343818","09.2022.00034381-8")</f>
        <v>09.2022.00034381-8</v>
      </c>
      <c r="D197" s="4">
        <v>46126</v>
      </c>
      <c r="E197" s="16" t="str">
        <f>HYPERLINK("https://www8.mpce.mp.br/Empenhos/150001/Objeto/24-2023.pdf","EMPENHO REF. ALUGUEL DE IMÓVEL ONDE FUNCIONAM PROMOTORIAS DE JUSTIÇA DA COMARCA DE ITAPIPOCA, CONF. CONTRATO 024/2023, REF. ABR/2026, POR ESTIMATIVA.")</f>
        <v>EMPENHO REF. ALUGUEL DE IMÓVEL ONDE FUNCIONAM PROMOTORIAS DE JUSTIÇA DA COMARCA DE ITAPIPOCA, CONF. CONTRATO 024/2023, REF. ABR/2026, POR ESTIMATIVA.</v>
      </c>
      <c r="F197" s="2" t="s">
        <v>121</v>
      </c>
      <c r="G197" s="5" t="str">
        <f>HYPERLINK("https://siafe.sefaz.ce.gov.br/Siafe/downloadSignature?token=2ebbcbf527ad4263bebb88a7631c3e77","2026NE000494")</f>
        <v>2026NE000494</v>
      </c>
      <c r="H197" s="6">
        <v>18857.89</v>
      </c>
      <c r="I197" s="7" t="s">
        <v>76</v>
      </c>
      <c r="J197" s="10" t="s">
        <v>177</v>
      </c>
      <c r="L197" s="13"/>
    </row>
    <row r="198" spans="1:12" ht="51" x14ac:dyDescent="0.25">
      <c r="A198" s="12" t="s">
        <v>111</v>
      </c>
      <c r="B198" s="2" t="s">
        <v>151</v>
      </c>
      <c r="C198" s="3" t="str">
        <f>HYPERLINK("https://transparencia-area-fim.mpce.mp.br/#/consulta/processo/pastadigital/092021000244282","09.2021.00024428-2")</f>
        <v>09.2021.00024428-2</v>
      </c>
      <c r="D198" s="4">
        <v>46135</v>
      </c>
      <c r="E198" s="16" t="str">
        <f>HYPERLINK("https://www8.mpce.mp.br/Empenhos/150001/Objeto/18-2022.pdf","EMPENHO REF. ALUGUEL DE IMÓVEL ONDE FUNCIONAM PROMOTORIAS DE JUSTIÇA DA COMARCA DE CRATEÚS, CONF. CONTRATO 018/2022, REF. ABR/2026, POR ESTIMATIVA.")</f>
        <v>EMPENHO REF. ALUGUEL DE IMÓVEL ONDE FUNCIONAM PROMOTORIAS DE JUSTIÇA DA COMARCA DE CRATEÚS, CONF. CONTRATO 018/2022, REF. ABR/2026, POR ESTIMATIVA.</v>
      </c>
      <c r="F198" s="2" t="s">
        <v>121</v>
      </c>
      <c r="G198" s="5" t="str">
        <f>HYPERLINK("https://siafe.sefaz.ce.gov.br/Siafe/downloadSignature?token=4414b9dbd759466db027a9ce7356e7c4","2026NE000495")</f>
        <v>2026NE000495</v>
      </c>
      <c r="H198" s="6">
        <v>26770</v>
      </c>
      <c r="I198" s="7" t="s">
        <v>21</v>
      </c>
      <c r="J198" s="10" t="s">
        <v>132</v>
      </c>
      <c r="L198" s="13"/>
    </row>
    <row r="199" spans="1:12" ht="51" x14ac:dyDescent="0.25">
      <c r="A199" s="12" t="s">
        <v>111</v>
      </c>
      <c r="B199" s="2" t="s">
        <v>115</v>
      </c>
      <c r="C199" s="3" t="str">
        <f>HYPERLINK("https://transparencia-area-fim.mpce.mp.br/#/consulta/processo/pastadigital/092022000230870","09.2022.00023087-0")</f>
        <v>09.2022.00023087-0</v>
      </c>
      <c r="D199" s="4">
        <v>46135</v>
      </c>
      <c r="E199" s="16" t="str">
        <f>HYPERLINK("https://www8.mpce.mp.br/Empenhos/150001/Objeto/29-2022.pdf","EMPENHO REF. ALUGUEL DE IMÓVEL ONDE FUNCIONAM PROMOTORIAS DE JUSTIÇA DA COMARCA DE JUAZEIRO DO NORTE, CONF. CONTRATO 029/2022, REF. ABR/2026, POR ESTIMATIVA.")</f>
        <v>EMPENHO REF. ALUGUEL DE IMÓVEL ONDE FUNCIONAM PROMOTORIAS DE JUSTIÇA DA COMARCA DE JUAZEIRO DO NORTE, CONF. CONTRATO 029/2022, REF. ABR/2026, POR ESTIMATIVA.</v>
      </c>
      <c r="F199" s="2" t="s">
        <v>121</v>
      </c>
      <c r="G199" s="5" t="str">
        <f>HYPERLINK("https://siafe.sefaz.ce.gov.br/Siafe/downloadSignature?token=0a0bdca9be804b04947f7fc077658231","2026NE000496")</f>
        <v>2026NE000496</v>
      </c>
      <c r="H199" s="6">
        <v>70717.740000000005</v>
      </c>
      <c r="I199" s="7" t="s">
        <v>20</v>
      </c>
      <c r="J199" s="10" t="s">
        <v>135</v>
      </c>
      <c r="L199" s="13"/>
    </row>
    <row r="200" spans="1:12" ht="51" x14ac:dyDescent="0.25">
      <c r="A200" s="12" t="s">
        <v>111</v>
      </c>
      <c r="B200" s="2" t="s">
        <v>151</v>
      </c>
      <c r="C200" s="3" t="str">
        <f>HYPERLINK("https://transparencia-area-fim.mpce.mp.br/#/consulta/processo/pastadigital/092022000343795","09.2022.00034379-5")</f>
        <v>09.2022.00034379-5</v>
      </c>
      <c r="D200" s="4">
        <v>46135</v>
      </c>
      <c r="E200" s="16" t="str">
        <f>HYPERLINK("https://www8.mpce.mp.br/Empenhos/150001/Objeto/25-2023.pdf","EMPENHO REF. ALUGUEL DE IMÓVEL ONDE FUNCIONAM PROMOTORIAS DE JUSTIÇA DA COMARCA DE CANINDÉ, CONF. CONTRATO 025/2023, REF. ABR/2026, POR ESTIMATIVA.")</f>
        <v>EMPENHO REF. ALUGUEL DE IMÓVEL ONDE FUNCIONAM PROMOTORIAS DE JUSTIÇA DA COMARCA DE CANINDÉ, CONF. CONTRATO 025/2023, REF. ABR/2026, POR ESTIMATIVA.</v>
      </c>
      <c r="F200" s="2" t="s">
        <v>121</v>
      </c>
      <c r="G200" s="5" t="str">
        <f>HYPERLINK("https://siafe.sefaz.ce.gov.br/Siafe/downloadSignature?token=16a9493bdc05460cb2548ad5b9b10141","2026NE000497")</f>
        <v>2026NE000497</v>
      </c>
      <c r="H200" s="6">
        <v>14668</v>
      </c>
      <c r="I200" s="7" t="s">
        <v>93</v>
      </c>
      <c r="J200" s="10" t="s">
        <v>178</v>
      </c>
      <c r="L200" s="13"/>
    </row>
    <row r="201" spans="1:12" ht="51" x14ac:dyDescent="0.25">
      <c r="A201" s="12" t="s">
        <v>111</v>
      </c>
      <c r="B201" s="2" t="s">
        <v>115</v>
      </c>
      <c r="C201" s="3" t="str">
        <f>HYPERLINK("https://transparencia-area-fim.mpce.mp.br/#/consulta/processo/pastadigital/092021000063220","09.2021.00006322-0")</f>
        <v>09.2021.00006322-0</v>
      </c>
      <c r="D201" s="4">
        <v>46135</v>
      </c>
      <c r="E201" s="16" t="str">
        <f>HYPERLINK("https://www8.mpce.mp.br/Empenhos/150001/Objeto/33-2021.pdf","EMPENHO REF. ALUGUEL DE IMÓVEL ONDE FUNCIONAM PROMOTORIAS DE JUSTIÇA DA COMARCA DE SOBRAL, CONF. CONTRATO 033/2021, REF. ABR/2026, POR ESTIMATIVA.")</f>
        <v>EMPENHO REF. ALUGUEL DE IMÓVEL ONDE FUNCIONAM PROMOTORIAS DE JUSTIÇA DA COMARCA DE SOBRAL, CONF. CONTRATO 033/2021, REF. ABR/2026, POR ESTIMATIVA.</v>
      </c>
      <c r="F201" s="2" t="s">
        <v>121</v>
      </c>
      <c r="G201" s="5" t="str">
        <f>HYPERLINK("https://siafe.sefaz.ce.gov.br/Siafe/downloadSignature?token=46fc699e5b7c460982c28ababfbf7d9c","2026NE000498")</f>
        <v>2026NE000498</v>
      </c>
      <c r="H201" s="6">
        <v>36266.65</v>
      </c>
      <c r="I201" s="7" t="s">
        <v>21</v>
      </c>
      <c r="J201" s="10" t="s">
        <v>132</v>
      </c>
      <c r="L201" s="13"/>
    </row>
    <row r="202" spans="1:12" ht="51" x14ac:dyDescent="0.25">
      <c r="A202" s="12" t="s">
        <v>111</v>
      </c>
      <c r="B202" s="2" t="s">
        <v>115</v>
      </c>
      <c r="C202" s="3" t="str">
        <f>HYPERLINK("https://transparencia-area-fim.mpce.mp.br/#/consulta/processo/pastadigital/092023000338541","09.2023.00033854-1")</f>
        <v>09.2023.00033854-1</v>
      </c>
      <c r="D202" s="4">
        <v>46135</v>
      </c>
      <c r="E202" s="16" t="str">
        <f>HYPERLINK("https://www8.mpce.mp.br/Empenhos/150001/Objeto/36-2024.pdf","EMPENHO ESCRITURAL REF. ALUGUEL DE IMÓVEL ONDE FUNCIONAM PROMOTORIAS DE JUSTIÇA DA COMARCA DE MORADA NOVA, CONF. CONTRATO 036/2024, REF. ABR, 2026, POR ESTIMATIVA.")</f>
        <v>EMPENHO ESCRITURAL REF. ALUGUEL DE IMÓVEL ONDE FUNCIONAM PROMOTORIAS DE JUSTIÇA DA COMARCA DE MORADA NOVA, CONF. CONTRATO 036/2024, REF. ABR, 2026, POR ESTIMATIVA.</v>
      </c>
      <c r="F202" s="2" t="s">
        <v>121</v>
      </c>
      <c r="G202" s="5" t="str">
        <f>HYPERLINK("https://siafe.sefaz.ce.gov.br/Siafe/downloadSignature?token=d238369f882447d49ea6e5d663258fb6","2026NE000499")</f>
        <v>2026NE000499</v>
      </c>
      <c r="H202" s="6">
        <v>18387.5</v>
      </c>
      <c r="I202" s="7" t="s">
        <v>27</v>
      </c>
      <c r="J202" s="10" t="s">
        <v>134</v>
      </c>
      <c r="L202" s="13"/>
    </row>
    <row r="203" spans="1:12" ht="51" x14ac:dyDescent="0.25">
      <c r="A203" s="12" t="s">
        <v>111</v>
      </c>
      <c r="B203" s="2" t="s">
        <v>115</v>
      </c>
      <c r="C203" s="3" t="str">
        <f>HYPERLINK("https://transparencia-area-fim.mpce.mp.br/#/consulta/processo/pastadigital/092021000079244","09.2021.00007924-4")</f>
        <v>09.2021.00007924-4</v>
      </c>
      <c r="D203" s="4">
        <v>46135</v>
      </c>
      <c r="E203" s="16" t="str">
        <f>HYPERLINK("https://www8.mpce.mp.br/Empenhos/150001/Objeto/27-2021.pdf","EMPENHO REF. ALUGUEL DE IMÓVEL ONDE FUNCIONAM PROMOTORIAS DE JUSTIÇA DA COMARCA DE EUSÉBIO, CONF. CONTRATO 045/2021, REF. ABR MAI/JUN /2026, POR ESTIMATIVA.")</f>
        <v>EMPENHO REF. ALUGUEL DE IMÓVEL ONDE FUNCIONAM PROMOTORIAS DE JUSTIÇA DA COMARCA DE EUSÉBIO, CONF. CONTRATO 045/2021, REF. ABR MAI/JUN /2026, POR ESTIMATIVA.</v>
      </c>
      <c r="F203" s="2" t="s">
        <v>119</v>
      </c>
      <c r="G203" s="5" t="str">
        <f>HYPERLINK("https://siafe.sefaz.ce.gov.br/Siafe/downloadSignature?token=0d220c57434b43db8230a66e90c6e897","2026NE000500")</f>
        <v>2026NE000500</v>
      </c>
      <c r="H203" s="6">
        <v>5065.74</v>
      </c>
      <c r="I203" s="7" t="s">
        <v>42</v>
      </c>
      <c r="J203" s="10" t="s">
        <v>120</v>
      </c>
      <c r="L203" s="13"/>
    </row>
    <row r="204" spans="1:12" ht="51" x14ac:dyDescent="0.25">
      <c r="A204" s="12" t="s">
        <v>111</v>
      </c>
      <c r="B204" s="2" t="s">
        <v>115</v>
      </c>
      <c r="C204" s="3" t="str">
        <f>HYPERLINK("https://transparencia-area-fim.mpce.mp.br/#/consulta/processo/pastadigital/092023000338563","09.2023.00033856-3")</f>
        <v>09.2023.00033856-3</v>
      </c>
      <c r="D204" s="4">
        <v>46135</v>
      </c>
      <c r="E204" s="16" t="str">
        <f>HYPERLINK("https://www8.mpce.mp.br/Empenhos/150001/Objeto/01-2024.pdf","EMPENHO REF. ALUGUEL DE IMÓVEL ONDE FUNCIONAM PROMOTORIAS DE JUSTIÇA DA COMARCA DE AQUIRAZ, CONF. CONTRATO 001/2024, REF. ABR, 2026, POR ESTIMATIVA.")</f>
        <v>EMPENHO REF. ALUGUEL DE IMÓVEL ONDE FUNCIONAM PROMOTORIAS DE JUSTIÇA DA COMARCA DE AQUIRAZ, CONF. CONTRATO 001/2024, REF. ABR, 2026, POR ESTIMATIVA.</v>
      </c>
      <c r="F204" s="2" t="s">
        <v>121</v>
      </c>
      <c r="G204" s="5" t="str">
        <f>HYPERLINK("https://siafe.sefaz.ce.gov.br/Siafe/downloadSignature?token=4c05ed174df74801b8ba6732a020a39e","2026NE000502")</f>
        <v>2026NE000502</v>
      </c>
      <c r="H204" s="6">
        <v>17232</v>
      </c>
      <c r="I204" s="7" t="s">
        <v>27</v>
      </c>
      <c r="J204" s="10" t="s">
        <v>134</v>
      </c>
      <c r="L204" s="13"/>
    </row>
    <row r="205" spans="1:12" ht="51" x14ac:dyDescent="0.25">
      <c r="A205" s="12" t="s">
        <v>111</v>
      </c>
      <c r="B205" s="2" t="s">
        <v>115</v>
      </c>
      <c r="C205" s="3" t="str">
        <f>HYPERLINK("https://transparencia-area-fim.mpce.mp.br/#/consulta/processo/pastadigital/092023000338530","09.2023.00033853-0")</f>
        <v>09.2023.00033853-0</v>
      </c>
      <c r="D205" s="4">
        <v>46135</v>
      </c>
      <c r="E205" s="16" t="str">
        <f>HYPERLINK("https://www8.mpce.mp.br/Empenhos/150001/Objeto/05-2024.pdf","EMPENHO REF. ALUGUEL DE IMÓVEL ONDE FUNCIONAM PROMOTORIAS DE JUSTIÇA DA COMARCA DE BATURITÉ-CE, CONF. CONTRATO 005/2024, REF. ABR, 2026, POR ESTIMATIVA.")</f>
        <v>EMPENHO REF. ALUGUEL DE IMÓVEL ONDE FUNCIONAM PROMOTORIAS DE JUSTIÇA DA COMARCA DE BATURITÉ-CE, CONF. CONTRATO 005/2024, REF. ABR, 2026, POR ESTIMATIVA.</v>
      </c>
      <c r="F205" s="2" t="s">
        <v>121</v>
      </c>
      <c r="G205" s="5" t="str">
        <f>HYPERLINK("https://siafe.sefaz.ce.gov.br/Siafe/downloadSignature?token=1778e7c259814d278fef8baa72b5c300","2026NE000503")</f>
        <v>2026NE000503</v>
      </c>
      <c r="H205" s="6">
        <v>15272</v>
      </c>
      <c r="I205" s="7" t="s">
        <v>21</v>
      </c>
      <c r="J205" s="10" t="s">
        <v>132</v>
      </c>
      <c r="L205" s="13"/>
    </row>
    <row r="206" spans="1:12" ht="51" x14ac:dyDescent="0.25">
      <c r="A206" s="12" t="s">
        <v>111</v>
      </c>
      <c r="B206" s="2" t="s">
        <v>115</v>
      </c>
      <c r="C206" s="3" t="str">
        <f>HYPERLINK("https://transparencia-area-fim.mpce.mp.br/#/consulta/processo/pastadigital/092022000343751","09.2022.00034375-1")</f>
        <v>09.2022.00034375-1</v>
      </c>
      <c r="D206" s="4">
        <v>46135</v>
      </c>
      <c r="E206" s="16" t="str">
        <f>HYPERLINK("https://www8.mpce.mp.br/Empenhos/150001/Objeto/08-2023.pdf","EMPENHO REF. ALUGUEL DE IMÓVEL ONDE FUNCIONAM PROMOTORIAS DE JUSTIÇA DA COMARCA DE QUIXERAMOBIM, CONF. CONTRATO 008/2023, REF. ABR/2026, POR ESTIMATIVA.")</f>
        <v>EMPENHO REF. ALUGUEL DE IMÓVEL ONDE FUNCIONAM PROMOTORIAS DE JUSTIÇA DA COMARCA DE QUIXERAMOBIM, CONF. CONTRATO 008/2023, REF. ABR/2026, POR ESTIMATIVA.</v>
      </c>
      <c r="F206" s="2" t="s">
        <v>121</v>
      </c>
      <c r="G206" s="5" t="str">
        <f>HYPERLINK("https://siafe.sefaz.ce.gov.br/Siafe/downloadSignature?token=6ee13df893af4e9faca0f6de1c454dcb","2026NE000504")</f>
        <v>2026NE000504</v>
      </c>
      <c r="H206" s="6">
        <v>14776</v>
      </c>
      <c r="I206" s="7" t="s">
        <v>138</v>
      </c>
      <c r="J206" s="10" t="s">
        <v>139</v>
      </c>
      <c r="L206" s="13"/>
    </row>
    <row r="207" spans="1:12" ht="51" x14ac:dyDescent="0.25">
      <c r="A207" s="12" t="s">
        <v>111</v>
      </c>
      <c r="B207" s="2" t="s">
        <v>141</v>
      </c>
      <c r="C207" s="3" t="str">
        <f>HYPERLINK("https://transparencia-area-fim.mpce.mp.br/#/consulta/processo/pastadigital/092021000064195","09.2021.00006419-5")</f>
        <v>09.2021.00006419-5</v>
      </c>
      <c r="D207" s="4">
        <v>46135</v>
      </c>
      <c r="E207" s="16" t="str">
        <f>HYPERLINK("https://www8.mpce.mp.br/Empenhos/150001/Objeto/41-2021.pdf","EMPENHO REF. ALUGUEL DE IMÓVEL ONDE FUNCIONAM PROMOTORIAS DE JUSTIÇA DA COMARCA DE QUIXADÁ, CONF. CONTRATO 041/2021, REF. ABR/2026, POR ESTIMATIVA.")</f>
        <v>EMPENHO REF. ALUGUEL DE IMÓVEL ONDE FUNCIONAM PROMOTORIAS DE JUSTIÇA DA COMARCA DE QUIXADÁ, CONF. CONTRATO 041/2021, REF. ABR/2026, POR ESTIMATIVA.</v>
      </c>
      <c r="F207" s="2" t="s">
        <v>121</v>
      </c>
      <c r="G207" s="5" t="str">
        <f>HYPERLINK("https://siafe.sefaz.ce.gov.br/Siafe/downloadSignature?token=357376a65bd4453787db90a3682b4b3b","2026NE000505")</f>
        <v>2026NE000505</v>
      </c>
      <c r="H207" s="6">
        <v>19363.07</v>
      </c>
      <c r="I207" s="7" t="s">
        <v>144</v>
      </c>
      <c r="J207" s="10" t="s">
        <v>145</v>
      </c>
      <c r="L207" s="13"/>
    </row>
    <row r="208" spans="1:12" ht="51" x14ac:dyDescent="0.25">
      <c r="A208" s="12" t="s">
        <v>111</v>
      </c>
      <c r="B208" s="2" t="s">
        <v>115</v>
      </c>
      <c r="C208" s="3" t="str">
        <f>HYPERLINK("https://transparencia-area-fim.mpce.mp.br/#/consulta/processo/pastadigital/092023000338585","09.2023.00033858-5")</f>
        <v>09.2023.00033858-5</v>
      </c>
      <c r="D208" s="4">
        <v>46135</v>
      </c>
      <c r="E208" s="16" t="str">
        <f>HYPERLINK("https://www8.mpce.mp.br/Empenhos/150001/Objeto/62-2024.pdf","EMPENHO REF. ALUGUEL DE IMÓVEL ONDE FUNCIONAM PROMOTORIAS DE JUSTIÇA DA COMARCA DE LIMOEIRO DO NORTE, CONF. CONTRATO 062/2024, REF. ABR/2026, POR ESTIMATIVA.")</f>
        <v>EMPENHO REF. ALUGUEL DE IMÓVEL ONDE FUNCIONAM PROMOTORIAS DE JUSTIÇA DA COMARCA DE LIMOEIRO DO NORTE, CONF. CONTRATO 062/2024, REF. ABR/2026, POR ESTIMATIVA.</v>
      </c>
      <c r="F208" s="2" t="s">
        <v>121</v>
      </c>
      <c r="G208" s="5" t="str">
        <f>HYPERLINK("https://siafe.sefaz.ce.gov.br/Siafe/downloadSignature?token=8f24633d140948fe8c88c80b221b89f1","2026NE000506")</f>
        <v>2026NE000506</v>
      </c>
      <c r="H208" s="6">
        <v>17425.98</v>
      </c>
      <c r="I208" s="7" t="s">
        <v>23</v>
      </c>
      <c r="J208" s="10" t="s">
        <v>136</v>
      </c>
      <c r="L208" s="13"/>
    </row>
    <row r="209" spans="1:12" ht="51" x14ac:dyDescent="0.25">
      <c r="A209" s="12" t="s">
        <v>111</v>
      </c>
      <c r="B209" s="2" t="s">
        <v>115</v>
      </c>
      <c r="C209" s="3" t="str">
        <f>HYPERLINK("http://www8.mpce.mp.br/Dispensa/1984020196.pdf","19840/2019-6")</f>
        <v>19840/2019-6</v>
      </c>
      <c r="D209" s="4">
        <v>46135</v>
      </c>
      <c r="E209" s="16" t="str">
        <f>HYPERLINK("https://www8.mpce.mp.br/Empenhos/150001/Objeto/48-2019.pdf","EMPENHO REF. ALUGUEL DE IMÓVEL ONDE FUNCIONAM PROMOTORIAS DE JUSTIÇA DA COMARCA DE CAUCAIA, CONF. CONTRATO 048/2019, REF. ABR/2026, POR ESTIMATIVA.")</f>
        <v>EMPENHO REF. ALUGUEL DE IMÓVEL ONDE FUNCIONAM PROMOTORIAS DE JUSTIÇA DA COMARCA DE CAUCAIA, CONF. CONTRATO 048/2019, REF. ABR/2026, POR ESTIMATIVA.</v>
      </c>
      <c r="F209" s="2" t="s">
        <v>121</v>
      </c>
      <c r="G209" s="5" t="str">
        <f>HYPERLINK("https://siafe.sefaz.ce.gov.br/Siafe/downloadSignature?token=d839927eb12a4ce085272c32862e3c7f","2026NE000507")</f>
        <v>2026NE000507</v>
      </c>
      <c r="H209" s="6">
        <v>48652.37</v>
      </c>
      <c r="I209" s="7" t="s">
        <v>27</v>
      </c>
      <c r="J209" s="10" t="s">
        <v>134</v>
      </c>
      <c r="L209" s="13"/>
    </row>
    <row r="210" spans="1:12" ht="51" x14ac:dyDescent="0.25">
      <c r="A210" s="12" t="s">
        <v>122</v>
      </c>
      <c r="B210" s="2" t="s">
        <v>123</v>
      </c>
      <c r="C210" s="3" t="str">
        <f>HYPERLINK("https://transparencia-area-fim.mpce.mp.br/#/consulta/processo/pastadigital/092022000371847","09.2022.00037184-7")</f>
        <v>09.2022.00037184-7</v>
      </c>
      <c r="D210" s="4">
        <v>46126</v>
      </c>
      <c r="E210" s="16" t="str">
        <f>HYPERLINK("https://www8.mpce.mp.br/Empenhos/150001/Objeto/44-2023.pdf","EMPENHO REF. ALUGUEL DE IMÓVEL ONDE FUNCIONAM PROMOTORIAS DE JUSTIÇA DA COMARCA DE MARCO, CONF. CONTRATO 033/2022, REF. ABR/MAIO/JUNH 2026, POR ESTIMATIVA.")</f>
        <v>EMPENHO REF. ALUGUEL DE IMÓVEL ONDE FUNCIONAM PROMOTORIAS DE JUSTIÇA DA COMARCA DE MARCO, CONF. CONTRATO 033/2022, REF. ABR/MAIO/JUNH 2026, POR ESTIMATIVA.</v>
      </c>
      <c r="F210" s="2" t="s">
        <v>113</v>
      </c>
      <c r="G210" s="5" t="str">
        <f>HYPERLINK("https://siafe.sefaz.ce.gov.br/Siafe/downloadSignature?token=4427fa341b7e4f7b9ea304a1086e093e","2026NE000508")</f>
        <v>2026NE000508</v>
      </c>
      <c r="H210" s="6">
        <v>3600</v>
      </c>
      <c r="I210" s="7" t="s">
        <v>43</v>
      </c>
      <c r="J210" s="10" t="s">
        <v>124</v>
      </c>
      <c r="L210" s="13"/>
    </row>
    <row r="211" spans="1:12" ht="51" x14ac:dyDescent="0.25">
      <c r="A211" s="12" t="s">
        <v>122</v>
      </c>
      <c r="B211" s="2" t="s">
        <v>125</v>
      </c>
      <c r="C211" s="3" t="str">
        <f>HYPERLINK("https://transparencia-area-fim.mpce.mp.br/#/consulta/processo/pastadigital/092022000409094","09.2022.00040909-4")</f>
        <v>09.2022.00040909-4</v>
      </c>
      <c r="D211" s="4">
        <v>46126</v>
      </c>
      <c r="E211" s="16" t="str">
        <f>HYPERLINK("https://www8.mpce.mp.br/Empenhos/150001/Objeto/41-2023.pdf","EMPENHO REF. ALUGUEL DE IMÓVEL ONDE FUNCIONAM PROMOTORIAS DE JUSTIÇA DA COMARCA DE GUARACIABA DO NORTE, CONF. CONTRATO 041/2023, REF. ABR/MAI/JUNH 2026, POR ESTIMATIVA.")</f>
        <v>EMPENHO REF. ALUGUEL DE IMÓVEL ONDE FUNCIONAM PROMOTORIAS DE JUSTIÇA DA COMARCA DE GUARACIABA DO NORTE, CONF. CONTRATO 041/2023, REF. ABR/MAI/JUNH 2026, POR ESTIMATIVA.</v>
      </c>
      <c r="F211" s="2" t="s">
        <v>113</v>
      </c>
      <c r="G211" s="5" t="str">
        <f>HYPERLINK("https://siafe.sefaz.ce.gov.br/Siafe/downloadSignature?token=31478b50011544a1b4c1e429e71f99cd","2026NE000509")</f>
        <v>2026NE000509</v>
      </c>
      <c r="H211" s="6">
        <v>6900</v>
      </c>
      <c r="I211" s="7" t="s">
        <v>44</v>
      </c>
      <c r="J211" s="10" t="s">
        <v>126</v>
      </c>
    </row>
    <row r="212" spans="1:12" ht="51" x14ac:dyDescent="0.25">
      <c r="A212" s="12" t="s">
        <v>111</v>
      </c>
      <c r="B212" s="2" t="s">
        <v>115</v>
      </c>
      <c r="C212" s="3" t="str">
        <f>HYPERLINK("http://www8.mpce.mp.br/Dispensa/146020136.pdf","1460/2013-6")</f>
        <v>1460/2013-6</v>
      </c>
      <c r="D212" s="4">
        <v>46126</v>
      </c>
      <c r="E212" s="16" t="str">
        <f>HYPERLINK("https://www8.mpce.mp.br/Empenhos/150001/Objeto/39-2013.pdf","EMPENHO REF. ALUGUEL ONDE FUNCIONAM PROMOTORIAS DE JUSTIÇA DA COMARCA DE CASCAVEL-CE, CONF. CONTRATO 039/2013, REF. ABR/MAI/JUN 2026, POR ESTIMATIVA.")</f>
        <v>EMPENHO REF. ALUGUEL ONDE FUNCIONAM PROMOTORIAS DE JUSTIÇA DA COMARCA DE CASCAVEL-CE, CONF. CONTRATO 039/2013, REF. ABR/MAI/JUN 2026, POR ESTIMATIVA.</v>
      </c>
      <c r="F212" s="2" t="s">
        <v>113</v>
      </c>
      <c r="G212" s="5" t="str">
        <f>HYPERLINK("https://siafe.sefaz.ce.gov.br/Siafe/downloadSignature?token=354e082e0c2141ab94b9bf0a8c2d46e5","2026NE000510")</f>
        <v>2026NE000510</v>
      </c>
      <c r="H212" s="6">
        <v>13024.68</v>
      </c>
      <c r="I212" s="7" t="s">
        <v>83</v>
      </c>
      <c r="J212" s="10" t="s">
        <v>143</v>
      </c>
      <c r="L212" s="13"/>
    </row>
    <row r="213" spans="1:12" ht="38.25" x14ac:dyDescent="0.25">
      <c r="A213" s="12" t="s">
        <v>111</v>
      </c>
      <c r="B213" s="2" t="s">
        <v>115</v>
      </c>
      <c r="C213" s="3" t="str">
        <f>HYPERLINK("https://transparencia-area-fim.mpce.mp.br/#/consulta/processo/pastadigital/092021000244550","09.2021.00024455-0")</f>
        <v>09.2021.00024455-0</v>
      </c>
      <c r="D213" s="4">
        <v>46135</v>
      </c>
      <c r="E213" s="16" t="str">
        <f>HYPERLINK("https://www8.mpce.mp.br/Empenhos/150001/Objeto/10-2022.pdf","EMPENHO REF. ALUGUEL DE IMÓVEL ONDE FUNCIONAM PROMOTORIAS DE JUSTIÇA DA COMARCA DE ICÓ, CONF. CONTRATO 010/2022, REF. ABR/2026, POR ESTIMATIVA.")</f>
        <v>EMPENHO REF. ALUGUEL DE IMÓVEL ONDE FUNCIONAM PROMOTORIAS DE JUSTIÇA DA COMARCA DE ICÓ, CONF. CONTRATO 010/2022, REF. ABR/2026, POR ESTIMATIVA.</v>
      </c>
      <c r="F213" s="2" t="s">
        <v>121</v>
      </c>
      <c r="G213" s="5" t="str">
        <f>HYPERLINK("https://siafe.sefaz.ce.gov.br/Siafe/downloadSignature?token=bb82595cf07e47f68b82e685e2ba5002","2026NE000514")</f>
        <v>2026NE000514</v>
      </c>
      <c r="H213" s="6">
        <v>14254.31</v>
      </c>
      <c r="I213" s="7" t="s">
        <v>25</v>
      </c>
      <c r="J213" s="10" t="s">
        <v>137</v>
      </c>
      <c r="L213" s="13"/>
    </row>
    <row r="214" spans="1:12" ht="51" x14ac:dyDescent="0.25">
      <c r="A214" s="12" t="s">
        <v>111</v>
      </c>
      <c r="B214" s="2" t="s">
        <v>115</v>
      </c>
      <c r="C214" s="3" t="str">
        <f>HYPERLINK("https://transparencia-area-fim.mpce.mp.br/#/consulta/processo/pastadigital/092022000197876","09.2022.00019787-6")</f>
        <v>09.2022.00019787-6</v>
      </c>
      <c r="D214" s="4">
        <v>46132</v>
      </c>
      <c r="E214" s="16" t="str">
        <f>HYPERLINK("https://www8.mpce.mp.br/Empenhos/150001/Objeto/02-2023.pdf","EMPENHO REF. ALUGUEL DE IMÓVEL ONDE FUNCIONA O NÚCLEO DE MEDIAÇÃO COMUNITÁRIA DO BOM JARDIM, CONF. CONTRATO 002/2023, REF. ABR/2026, POR ESTIMATIVA.")</f>
        <v>EMPENHO REF. ALUGUEL DE IMÓVEL ONDE FUNCIONA O NÚCLEO DE MEDIAÇÃO COMUNITÁRIA DO BOM JARDIM, CONF. CONTRATO 002/2023, REF. ABR/2026, POR ESTIMATIVA.</v>
      </c>
      <c r="F214" s="2" t="s">
        <v>121</v>
      </c>
      <c r="G214" s="5" t="str">
        <f>HYPERLINK("https://siafe.sefaz.ce.gov.br/Siafe/downloadSignature?token=c2291b30922648318835af432df37614","2026NE000515")</f>
        <v>2026NE000515</v>
      </c>
      <c r="H214" s="6">
        <v>5600</v>
      </c>
      <c r="I214" s="7" t="s">
        <v>28</v>
      </c>
      <c r="J214" s="10" t="s">
        <v>133</v>
      </c>
      <c r="L214" s="13"/>
    </row>
    <row r="215" spans="1:12" ht="38.25" x14ac:dyDescent="0.25">
      <c r="A215" s="12" t="s">
        <v>111</v>
      </c>
      <c r="B215" s="2" t="s">
        <v>115</v>
      </c>
      <c r="C215" s="3" t="str">
        <f>HYPERLINK("http://www8.mpce.mp.br/Dispensa/6795020160.pdf","6795020160")</f>
        <v>6795020160</v>
      </c>
      <c r="D215" s="4">
        <v>46135</v>
      </c>
      <c r="E215" s="16" t="str">
        <f>HYPERLINK("https://www8.mpce.mp.br/Empenhos/150001/Objeto/08-2017.pdf","EMPENHO REF. ALUGUEL DE IMÓVEL ONDE FUNCIONAM PROMOTORIAS DE JUSTIÇA DA COMARCA DE JARDIM, CONF. CONTRATO 008/2017, REF. ABR/2026, POR ESTIMATIVA.")</f>
        <v>EMPENHO REF. ALUGUEL DE IMÓVEL ONDE FUNCIONAM PROMOTORIAS DE JUSTIÇA DA COMARCA DE JARDIM, CONF. CONTRATO 008/2017, REF. ABR/2026, POR ESTIMATIVA.</v>
      </c>
      <c r="F215" s="2" t="s">
        <v>113</v>
      </c>
      <c r="G215" s="5" t="str">
        <f>HYPERLINK("https://siafe.sefaz.ce.gov.br/Siafe/downloadSignature?token=cdd1eb5305304e4b88799c66f795742e","2026NE000516")</f>
        <v>2026NE000516</v>
      </c>
      <c r="H215" s="6">
        <v>737.43</v>
      </c>
      <c r="I215" s="7" t="s">
        <v>91</v>
      </c>
      <c r="J215" s="10" t="s">
        <v>129</v>
      </c>
      <c r="L215" s="13"/>
    </row>
    <row r="216" spans="1:12" ht="38.25" x14ac:dyDescent="0.25">
      <c r="A216" s="12" t="s">
        <v>111</v>
      </c>
      <c r="B216" s="2" t="s">
        <v>151</v>
      </c>
      <c r="C216" s="3" t="str">
        <f>HYPERLINK("http://www8.mpce.mp.br/Dispensa/4793720162.pdf","4793720162")</f>
        <v>4793720162</v>
      </c>
      <c r="D216" s="4">
        <v>46135</v>
      </c>
      <c r="E216" s="16" t="str">
        <f>HYPERLINK("https://www8.mpce.mp.br/Empenhos/150001/Objeto/14-2017.pdf","EMPENHO REF. ALUGUEL DE IMÓVEL ONDE FUNCIONAM ALMOXARIFADO E PATRIMÔNIO, CONF. CONTRATO 014/2017, REF. ABR /2026, POR ESTIMATIVA.")</f>
        <v>EMPENHO REF. ALUGUEL DE IMÓVEL ONDE FUNCIONAM ALMOXARIFADO E PATRIMÔNIO, CONF. CONTRATO 014/2017, REF. ABR /2026, POR ESTIMATIVA.</v>
      </c>
      <c r="F216" s="2" t="s">
        <v>121</v>
      </c>
      <c r="G216" s="5" t="str">
        <f>HYPERLINK("https://siafe.sefaz.ce.gov.br/Siafe/downloadSignature?token=afb005ed5f0f444c8c2826d7a2c03c55","2026NE000517")</f>
        <v>2026NE000517</v>
      </c>
      <c r="H216" s="6">
        <v>27200</v>
      </c>
      <c r="I216" s="7" t="s">
        <v>30</v>
      </c>
      <c r="J216" s="10" t="s">
        <v>157</v>
      </c>
      <c r="L216" s="13"/>
    </row>
    <row r="217" spans="1:12" ht="51" x14ac:dyDescent="0.25">
      <c r="A217" s="12" t="s">
        <v>111</v>
      </c>
      <c r="B217" s="2" t="s">
        <v>151</v>
      </c>
      <c r="C217" s="3" t="str">
        <f>HYPERLINK("http://www8.mpce.mp.br/Dispensa/842220170.pdf","8422/20170")</f>
        <v>8422/20170</v>
      </c>
      <c r="D217" s="4">
        <v>46132</v>
      </c>
      <c r="E217" s="16" t="str">
        <f>HYPERLINK("https://www8.mpce.mp.br/Empenhos/150001/Objeto/16-2017.pdf","EMPENHO REF. ALUGUEL DE IMÓVEL ONDE FUNCIONAM PROMOTORIAS DE JUSTIÇA DA COMARCA CRIMINAIS DE FORTALEZA, CONF. CONTRATO 016/2017, REF. ABR/2026, POR ESTIMATIVA.")</f>
        <v>EMPENHO REF. ALUGUEL DE IMÓVEL ONDE FUNCIONAM PROMOTORIAS DE JUSTIÇA DA COMARCA CRIMINAIS DE FORTALEZA, CONF. CONTRATO 016/2017, REF. ABR/2026, POR ESTIMATIVA.</v>
      </c>
      <c r="F217" s="2" t="s">
        <v>121</v>
      </c>
      <c r="G217" s="5" t="str">
        <f>HYPERLINK("https://siafe.sefaz.ce.gov.br/Siafe/downloadSignature?token=2691690c39c64d44aea3214def321e2d","2026NE000518")</f>
        <v>2026NE000518</v>
      </c>
      <c r="H217" s="6">
        <v>63283.24</v>
      </c>
      <c r="I217" s="7" t="s">
        <v>29</v>
      </c>
      <c r="J217" s="10" t="s">
        <v>154</v>
      </c>
      <c r="L217" s="13"/>
    </row>
    <row r="218" spans="1:12" ht="51" x14ac:dyDescent="0.25">
      <c r="A218" s="12" t="s">
        <v>122</v>
      </c>
      <c r="B218" s="2" t="s">
        <v>146</v>
      </c>
      <c r="C218" s="3" t="str">
        <f>HYPERLINK("https://transparencia-area-fim.mpce.mp.br/#/consulta/processo/pastadigital/092024000115580","09.2024.00011558-0")</f>
        <v>09.2024.00011558-0</v>
      </c>
      <c r="D218" s="4">
        <v>46132</v>
      </c>
      <c r="E218" s="16" t="str">
        <f>HYPERLINK("https://www8.mpce.mp.br/Empenhos/150001/Objeto/16-2025.pdf","EMPENHO REF. ALUGUEL DE IMÓVEL ONDE FUNCIONAM PROMOTORIAS DE JUSTIÇA DA COMARCA DE NOVA RUSSAS, CONF. CONTRATO 016/2025, REF. ABR/MAI/JUN 2026, POR ESTIMATIVA.")</f>
        <v>EMPENHO REF. ALUGUEL DE IMÓVEL ONDE FUNCIONAM PROMOTORIAS DE JUSTIÇA DA COMARCA DE NOVA RUSSAS, CONF. CONTRATO 016/2025, REF. ABR/MAI/JUN 2026, POR ESTIMATIVA.</v>
      </c>
      <c r="F218" s="2" t="s">
        <v>113</v>
      </c>
      <c r="G218" s="5" t="str">
        <f>HYPERLINK("https://siafe.sefaz.ce.gov.br/Siafe/downloadSignature?token=d864040c02ce4b45ba7a232e8665311a","2026NE000519")</f>
        <v>2026NE000519</v>
      </c>
      <c r="H218" s="6">
        <v>9830.94</v>
      </c>
      <c r="I218" s="7" t="s">
        <v>172</v>
      </c>
      <c r="J218" s="10" t="s">
        <v>173</v>
      </c>
    </row>
    <row r="219" spans="1:12" ht="51" x14ac:dyDescent="0.25">
      <c r="A219" s="12" t="s">
        <v>111</v>
      </c>
      <c r="B219" s="2" t="s">
        <v>151</v>
      </c>
      <c r="C219" s="3" t="str">
        <f>HYPERLINK("http://www8.mpce.mp.br/Dispensa/575920103.pdf","5759/2010-3")</f>
        <v>5759/2010-3</v>
      </c>
      <c r="D219" s="4">
        <v>46132</v>
      </c>
      <c r="E219" s="16" t="str">
        <f>HYPERLINK("https://www8.mpce.mp.br/Empenhos/150001/Objeto/22-2010.pdf","EMPENHO REF. ALUGUEL DE IMÓVEL ONDE FUNCIONAM PROMOTORIAS DE JUSTIÇA DA COMARCA DE GUAIÚBA, CONF. CONTRATO 022/2010, REF. ABR/MAI/JUN 2026, POR ESTIMATIVA.")</f>
        <v>EMPENHO REF. ALUGUEL DE IMÓVEL ONDE FUNCIONAM PROMOTORIAS DE JUSTIÇA DA COMARCA DE GUAIÚBA, CONF. CONTRATO 022/2010, REF. ABR/MAI/JUN 2026, POR ESTIMATIVA.</v>
      </c>
      <c r="F219" s="2" t="s">
        <v>113</v>
      </c>
      <c r="G219" s="5" t="str">
        <f>HYPERLINK("https://siafe.sefaz.ce.gov.br/Siafe/downloadSignature?token=0c05c3aca2d043bb901a072aa82562e7","2026NE000520")</f>
        <v>2026NE000520</v>
      </c>
      <c r="H219" s="6">
        <v>7367.82</v>
      </c>
      <c r="I219" s="7" t="s">
        <v>82</v>
      </c>
      <c r="J219" s="10" t="s">
        <v>153</v>
      </c>
      <c r="L219" s="13"/>
    </row>
    <row r="220" spans="1:12" ht="51" x14ac:dyDescent="0.25">
      <c r="A220" s="12" t="s">
        <v>111</v>
      </c>
      <c r="B220" s="2" t="s">
        <v>151</v>
      </c>
      <c r="C220" s="3" t="str">
        <f>HYPERLINK("https://transparencia-area-fim.mpce.mp.br/#/consulta/processo/pastadigital/092021000166790","09.2021.00016679-0")</f>
        <v>09.2021.00016679-0</v>
      </c>
      <c r="D220" s="4">
        <v>46132</v>
      </c>
      <c r="E220" s="16" t="str">
        <f>HYPERLINK("https://www8.mpce.mp.br/Empenhos/150001/Objeto/24-2022.pdf","EMPENHO REF. ALUGUEL DE IMÓVEL ONDE FUNCIONAM PROMOTORIAS DE JUSTIÇA DA COMARCA DE HORIZONTE, CONF. CONTRATO 024/2022, REF. ABR/MAI/JUNH 2026, POR ESTIMATIVA.")</f>
        <v>EMPENHO REF. ALUGUEL DE IMÓVEL ONDE FUNCIONAM PROMOTORIAS DE JUSTIÇA DA COMARCA DE HORIZONTE, CONF. CONTRATO 024/2022, REF. ABR/MAI/JUNH 2026, POR ESTIMATIVA.</v>
      </c>
      <c r="F220" s="2" t="s">
        <v>113</v>
      </c>
      <c r="G220" s="5" t="str">
        <f>HYPERLINK("https://siafe.sefaz.ce.gov.br/Siafe/downloadSignature?token=8421da742c0a4d6e956fa67d06267778","2026NE000521")</f>
        <v>2026NE000521</v>
      </c>
      <c r="H220" s="6">
        <v>7505.1</v>
      </c>
      <c r="I220" s="7" t="s">
        <v>35</v>
      </c>
      <c r="J220" s="10" t="s">
        <v>152</v>
      </c>
      <c r="L220" s="13"/>
    </row>
    <row r="221" spans="1:12" ht="51" x14ac:dyDescent="0.25">
      <c r="A221" s="12" t="s">
        <v>111</v>
      </c>
      <c r="B221" s="2" t="s">
        <v>115</v>
      </c>
      <c r="C221" s="3" t="str">
        <f>HYPERLINK("https://transparencia-area-fim.mpce.mp.br/#/consulta/processo/pastadigital/092021000047808","09.2021.00004780-8")</f>
        <v>09.2021.00004780-8</v>
      </c>
      <c r="D221" s="4">
        <v>46132</v>
      </c>
      <c r="E221" s="16" t="str">
        <f>HYPERLINK("https://www8.mpce.mp.br/Empenhos/150001/Objeto/25-2021.pdf","EMPENHO REF. ALUGUEL DE IMÓVEL ONDE FUNCIONAM PROMOTORIAS DE JUSTIÇA DA COMARCA DE ALTO SANTO, CONF. CONTRATO 025/2021, REF. ABR/MAI/JUNH 2026, POR ESTIMATIVA.")</f>
        <v>EMPENHO REF. ALUGUEL DE IMÓVEL ONDE FUNCIONAM PROMOTORIAS DE JUSTIÇA DA COMARCA DE ALTO SANTO, CONF. CONTRATO 025/2021, REF. ABR/MAI/JUNH 2026, POR ESTIMATIVA.</v>
      </c>
      <c r="F221" s="2" t="s">
        <v>113</v>
      </c>
      <c r="G221" s="5" t="str">
        <f>HYPERLINK("https://siafe.sefaz.ce.gov.br/Siafe/downloadSignature?token=6562e8957e474037be48ba095d92bda6","2026NE000522")</f>
        <v>2026NE000522</v>
      </c>
      <c r="H221" s="6">
        <v>4953.45</v>
      </c>
      <c r="I221" s="7" t="s">
        <v>130</v>
      </c>
      <c r="J221" s="10" t="s">
        <v>131</v>
      </c>
      <c r="L221" s="13"/>
    </row>
    <row r="222" spans="1:12" ht="51" x14ac:dyDescent="0.25">
      <c r="A222" s="12" t="s">
        <v>111</v>
      </c>
      <c r="B222" s="2" t="s">
        <v>158</v>
      </c>
      <c r="C222" s="3" t="str">
        <f>HYPERLINK("https://transparencia-area-fim.mpce.mp.br/#/consulta/processo/pastadigital/092021000155016","09.2021.00015501-6")</f>
        <v>09.2021.00015501-6</v>
      </c>
      <c r="D222" s="4">
        <v>46132</v>
      </c>
      <c r="E222" s="16" t="str">
        <f>HYPERLINK("https://www8.mpce.mp.br/Empenhos/150001/Objeto/26-2021.pdf","EMPENHO REF. ALUGUEL DE IMÓVEL ONDE FUNCIONAM PROMOTORIAS DE JUSTIÇA DA COMARCA DE BREJO SANTO, CONF. CONTRATO 026/2021, REF. ABR/MAI/JUNH2026, POR ESTIMATIVA.")</f>
        <v>EMPENHO REF. ALUGUEL DE IMÓVEL ONDE FUNCIONAM PROMOTORIAS DE JUSTIÇA DA COMARCA DE BREJO SANTO, CONF. CONTRATO 026/2021, REF. ABR/MAI/JUNH2026, POR ESTIMATIVA.</v>
      </c>
      <c r="F222" s="2" t="s">
        <v>113</v>
      </c>
      <c r="G222" s="5" t="str">
        <f>HYPERLINK("https://siafe.sefaz.ce.gov.br/Siafe/downloadSignature?token=935e7deca5bd422ca86dfcaa86e05e6f","2026NE000523")</f>
        <v>2026NE000523</v>
      </c>
      <c r="H222" s="6">
        <v>7804.65</v>
      </c>
      <c r="I222" s="7" t="s">
        <v>38</v>
      </c>
      <c r="J222" s="10" t="s">
        <v>179</v>
      </c>
      <c r="L222" s="13"/>
    </row>
    <row r="223" spans="1:12" ht="51" x14ac:dyDescent="0.25">
      <c r="A223" s="12" t="s">
        <v>111</v>
      </c>
      <c r="B223" s="2" t="s">
        <v>115</v>
      </c>
      <c r="C223" s="3" t="str">
        <f>HYPERLINK("https://transparencia-area-fim.mpce.mp.br/#/consulta/processo/pastadigital/092021000079244","09.2021.00007924-4")</f>
        <v>09.2021.00007924-4</v>
      </c>
      <c r="D223" s="4">
        <v>46126</v>
      </c>
      <c r="E223" s="16" t="str">
        <f>HYPERLINK("https://www8.mpce.mp.br/Empenhos/150001/Objeto/27-2021.pdf","EMPENHO REF. TAXAS CONDOMINIAIS DE IMÓVEL ONDE FUNCIONAM PROMOTORIAS DE JUSTIÇA DA COMARCA DE EUSÉBIO, CONF. CONTRATO 027/2021, REF. ABR/2026, POR ESTIMATIVA.")</f>
        <v>EMPENHO REF. TAXAS CONDOMINIAIS DE IMÓVEL ONDE FUNCIONAM PROMOTORIAS DE JUSTIÇA DA COMARCA DE EUSÉBIO, CONF. CONTRATO 027/2021, REF. ABR/2026, POR ESTIMATIVA.</v>
      </c>
      <c r="F223" s="2" t="s">
        <v>121</v>
      </c>
      <c r="G223" s="5" t="str">
        <f>HYPERLINK("https://siafe.sefaz.ce.gov.br/Siafe/downloadSignature?token=95c5925122e043199245f1e1590a8ca2","2026NE000524")</f>
        <v>2026NE000524</v>
      </c>
      <c r="H223" s="6">
        <v>5681.4</v>
      </c>
      <c r="I223" s="7" t="s">
        <v>42</v>
      </c>
      <c r="J223" s="10" t="s">
        <v>120</v>
      </c>
      <c r="L223" s="13"/>
    </row>
    <row r="224" spans="1:12" ht="51" x14ac:dyDescent="0.25">
      <c r="A224" s="12" t="s">
        <v>111</v>
      </c>
      <c r="B224" s="2" t="s">
        <v>158</v>
      </c>
      <c r="C224" s="3" t="str">
        <f>HYPERLINK("https://transparencia-area-fim.mpce.mp.br/#/consulta/processo/pastadigital/092022000264193","09.2022.00026419-3")</f>
        <v>09.2022.00026419-3</v>
      </c>
      <c r="D224" s="4">
        <v>46126</v>
      </c>
      <c r="E224" s="16" t="str">
        <f>HYPERLINK("https://www8.mpce.mp.br/Empenhos/150001/Objeto/28-2022.pdf","EMPENHO REF. ALUGUEL DE IMÓVEL ONDE FUNCIONAM PROMOTORIAS DE JUSTIÇA DA COMARCA DE AURORA, CONF. CONTRATO 028/2022, REF. ABR/MAI/JUN2026, POR ESTIMATIVA.")</f>
        <v>EMPENHO REF. ALUGUEL DE IMÓVEL ONDE FUNCIONAM PROMOTORIAS DE JUSTIÇA DA COMARCA DE AURORA, CONF. CONTRATO 028/2022, REF. ABR/MAI/JUN2026, POR ESTIMATIVA.</v>
      </c>
      <c r="F224" s="2" t="s">
        <v>113</v>
      </c>
      <c r="G224" s="5" t="str">
        <f>HYPERLINK("https://siafe.sefaz.ce.gov.br/Siafe/downloadSignature?token=7f64ffa73225412cb9265a2772a9c540","2026NE000526")</f>
        <v>2026NE000526</v>
      </c>
      <c r="H224" s="6">
        <v>6249.6</v>
      </c>
      <c r="I224" s="7" t="s">
        <v>180</v>
      </c>
      <c r="J224" s="10" t="s">
        <v>181</v>
      </c>
      <c r="L224" s="13"/>
    </row>
    <row r="225" spans="1:12" ht="51" x14ac:dyDescent="0.25">
      <c r="A225" s="12" t="s">
        <v>111</v>
      </c>
      <c r="B225" s="2" t="s">
        <v>112</v>
      </c>
      <c r="C225" s="3" t="str">
        <f>HYPERLINK("https://transparencia-area-fim.mpce.mp.br/#/consulta/processo/pastadigital/092022000091296","09.2022.00009129-6")</f>
        <v>09.2022.00009129-6</v>
      </c>
      <c r="D225" s="4">
        <v>46126</v>
      </c>
      <c r="E225" s="16" t="str">
        <f>HYPERLINK("https://www8.mpce.mp.br/Empenhos/150001/Objeto/33-2022.pdf","EMPENHO REF. ALUGUEL DE IMÓVEL ONDE FUNCIONAM PROMOTORIAS DE JUSTIÇA DA COMARCA DE VÁRZEA ALEGRE, CONF. CONTRATO 033/2022, REF. ABR, MAI/JUN/2026, POR ESTIMATIVA.")</f>
        <v>EMPENHO REF. ALUGUEL DE IMÓVEL ONDE FUNCIONAM PROMOTORIAS DE JUSTIÇA DA COMARCA DE VÁRZEA ALEGRE, CONF. CONTRATO 033/2022, REF. ABR, MAI/JUN/2026, POR ESTIMATIVA.</v>
      </c>
      <c r="F225" s="2" t="s">
        <v>113</v>
      </c>
      <c r="G225" s="5" t="str">
        <f>HYPERLINK("https://siafe.sefaz.ce.gov.br/Siafe/downloadSignature?token=8953ce663af0441eae41e4aa0917fa31","2026NE000527")</f>
        <v>2026NE000527</v>
      </c>
      <c r="H225" s="6">
        <v>2576.94</v>
      </c>
      <c r="I225" s="7" t="s">
        <v>32</v>
      </c>
      <c r="J225" s="10" t="s">
        <v>114</v>
      </c>
      <c r="L225" s="13"/>
    </row>
    <row r="226" spans="1:12" ht="51" x14ac:dyDescent="0.25">
      <c r="A226" s="12" t="s">
        <v>122</v>
      </c>
      <c r="B226" s="2" t="s">
        <v>123</v>
      </c>
      <c r="C226" s="3" t="str">
        <f>HYPERLINK("https://transparencia-area-fim.mpce.mp.br/#/consulta/processo/pastadigital/092022000426227","09.2022.00042622-7")</f>
        <v>09.2022.00042622-7</v>
      </c>
      <c r="D226" s="4">
        <v>46132</v>
      </c>
      <c r="E226" s="16" t="str">
        <f>HYPERLINK("https://www8.mpce.mp.br/Empenhos/150001/Objeto/33-2023.pdf","EMPENHO REF. ALUGUEL DE IMÓVEL ONDE FUNCIONAM PROMOTORIAS DE JUSTIÇA DA COMARCA DE JUCÁS, CONF. CONTRATO 033/2023, REF. ABR/MAI/JUN 2026, POR ESTIMATIVA.")</f>
        <v>EMPENHO REF. ALUGUEL DE IMÓVEL ONDE FUNCIONAM PROMOTORIAS DE JUSTIÇA DA COMARCA DE JUCÁS, CONF. CONTRATO 033/2023, REF. ABR/MAI/JUN 2026, POR ESTIMATIVA.</v>
      </c>
      <c r="F226" s="2" t="s">
        <v>113</v>
      </c>
      <c r="G226" s="5" t="str">
        <f>HYPERLINK("https://siafe.sefaz.ce.gov.br/Siafe/downloadSignature?token=b4f4ec63de6c4821a6bbfacee8dd9bff","2026NE000528")</f>
        <v>2026NE000528</v>
      </c>
      <c r="H226" s="6">
        <v>7829.01</v>
      </c>
      <c r="I226" s="7" t="s">
        <v>45</v>
      </c>
      <c r="J226" s="10" t="s">
        <v>150</v>
      </c>
      <c r="L226" s="13"/>
    </row>
    <row r="227" spans="1:12" ht="51" x14ac:dyDescent="0.25">
      <c r="A227" s="12" t="s">
        <v>122</v>
      </c>
      <c r="B227" s="2" t="s">
        <v>146</v>
      </c>
      <c r="C227" s="3" t="str">
        <f>HYPERLINK("https://transparencia-area-fim.mpce.mp.br/#/consulta/processo/pastadigital/092025000026529","09.2025.00002652-9")</f>
        <v>09.2025.00002652-9</v>
      </c>
      <c r="D227" s="4">
        <v>46132</v>
      </c>
      <c r="E227" s="16" t="str">
        <f>HYPERLINK("https://www8.mpce.mp.br/Empenhos/150001/Objeto/33-2025.pdf","EMPENHO REF. ALUGUEL DE IMÓVEL ONDE FUNCIONAM PROMOTORIAS DE JUSTIÇA DA COMARCA DE JIJOCA DE JERICOACOARA, CONF. CONTRATO 033/2025, REF. ABR/2026, POR ESTIMATIVA.")</f>
        <v>EMPENHO REF. ALUGUEL DE IMÓVEL ONDE FUNCIONAM PROMOTORIAS DE JUSTIÇA DA COMARCA DE JIJOCA DE JERICOACOARA, CONF. CONTRATO 033/2025, REF. ABR/2026, POR ESTIMATIVA.</v>
      </c>
      <c r="F227" s="2" t="s">
        <v>113</v>
      </c>
      <c r="G227" s="5" t="str">
        <f>HYPERLINK("https://siafe.sefaz.ce.gov.br/Siafe/downloadSignature?token=d3560380722746f290b36828123c7f15","2026NE000529")</f>
        <v>2026NE000529</v>
      </c>
      <c r="H227" s="6">
        <v>5000</v>
      </c>
      <c r="I227" s="7" t="s">
        <v>148</v>
      </c>
      <c r="J227" s="10" t="s">
        <v>149</v>
      </c>
      <c r="L227" s="13"/>
    </row>
    <row r="228" spans="1:12" ht="51" x14ac:dyDescent="0.25">
      <c r="A228" s="12" t="s">
        <v>111</v>
      </c>
      <c r="B228" s="2" t="s">
        <v>115</v>
      </c>
      <c r="C228" s="3" t="str">
        <f>HYPERLINK("https://transparencia-area-fim.mpce.mp.br/#/consulta/processo/pastadigital/092021000121226","09.2021.00012122-6")</f>
        <v>09.2021.00012122-6</v>
      </c>
      <c r="D228" s="4">
        <v>46126</v>
      </c>
      <c r="E228" s="16" t="str">
        <f>HYPERLINK("https://www8.mpce.mp.br/Empenhos/150001/Objeto/34-2021.pdf","EMPENHO REF. ALUGUEL DE IMÓVEL ONDE FUNCIONAM PROMOTORIAS DE JUSTIÇA DA COMARCA DE SÃO BENEDITO, CONF. CONTRATO 034/2021, REF. ABR/ MAI 2026, POR ESTIMATIVA.")</f>
        <v>EMPENHO REF. ALUGUEL DE IMÓVEL ONDE FUNCIONAM PROMOTORIAS DE JUSTIÇA DA COMARCA DE SÃO BENEDITO, CONF. CONTRATO 034/2021, REF. ABR/ MAI 2026, POR ESTIMATIVA.</v>
      </c>
      <c r="F228" s="2" t="s">
        <v>113</v>
      </c>
      <c r="G228" s="5" t="str">
        <f>HYPERLINK("https://siafe.sefaz.ce.gov.br/Siafe/downloadSignature?token=096e4041a7864372a7c82014f6cf7454","2026NE000530")</f>
        <v>2026NE000530</v>
      </c>
      <c r="H228" s="6">
        <v>5646.54</v>
      </c>
      <c r="I228" s="7" t="s">
        <v>37</v>
      </c>
      <c r="J228" s="10" t="s">
        <v>128</v>
      </c>
      <c r="L228" s="13"/>
    </row>
    <row r="229" spans="1:12" ht="51" x14ac:dyDescent="0.25">
      <c r="A229" s="12" t="s">
        <v>111</v>
      </c>
      <c r="B229" s="2" t="s">
        <v>115</v>
      </c>
      <c r="C229" s="3" t="str">
        <f>HYPERLINK("https://transparencia-area-fim.mpce.mp.br/#/consulta/processo/pastadigital/092022000276145","09.2022.00027614-5")</f>
        <v>09.2022.00027614-5</v>
      </c>
      <c r="D229" s="4">
        <v>46126</v>
      </c>
      <c r="E229" s="16" t="str">
        <f>HYPERLINK("https://www8.mpce.mp.br/Empenhos/150001/Objeto/36-2022.pdf","EMPENHO REF. ALUGUEL DE IMÓVEL ONDE FUNCIONAM PROMOTORIAS DE JUSTIÇA DA COMARCA DE ARARIPE, CONF. CONTRATO 036/2022, REF. ABR/MAI/JUNH /2026, POR ESTIMATIVA.")</f>
        <v>EMPENHO REF. ALUGUEL DE IMÓVEL ONDE FUNCIONAM PROMOTORIAS DE JUSTIÇA DA COMARCA DE ARARIPE, CONF. CONTRATO 036/2022, REF. ABR/MAI/JUNH /2026, POR ESTIMATIVA.</v>
      </c>
      <c r="F229" s="2" t="s">
        <v>113</v>
      </c>
      <c r="G229" s="5" t="str">
        <f>HYPERLINK("https://siafe.sefaz.ce.gov.br/Siafe/downloadSignature?token=35b758747f6e4789b41bdebf3a10541a","2026NE000531")</f>
        <v>2026NE000531</v>
      </c>
      <c r="H229" s="6">
        <v>4500</v>
      </c>
      <c r="I229" s="7" t="s">
        <v>31</v>
      </c>
      <c r="J229" s="10" t="s">
        <v>127</v>
      </c>
      <c r="L229" s="13"/>
    </row>
    <row r="230" spans="1:12" ht="51" x14ac:dyDescent="0.25">
      <c r="A230" s="12" t="s">
        <v>122</v>
      </c>
      <c r="B230" s="2" t="s">
        <v>146</v>
      </c>
      <c r="C230" s="3" t="str">
        <f>HYPERLINK("https://transparencia-area-fim.mpce.mp.br/#/consulta/processo/pastadigital/092022000083885","09.2022.00008388-5")</f>
        <v>09.2022.00008388-5</v>
      </c>
      <c r="D230" s="4">
        <v>46132</v>
      </c>
      <c r="E230" s="16" t="str">
        <f>HYPERLINK("https://www8.mpce.mp.br/Empenhos/150001/Objeto/36-2023.pdf","EMPENHO REF. ALUGUEL DE IMÓVEL QUE ABRIGA PROMOTORIAS DE JUSTIÇA COMARCA DE SOLONÓPOLE, CONF. CONTRATO 036/2023, REF. ABR/MAI/ JUN 2026, POR ESTIMATIVA.")</f>
        <v>EMPENHO REF. ALUGUEL DE IMÓVEL QUE ABRIGA PROMOTORIAS DE JUSTIÇA COMARCA DE SOLONÓPOLE, CONF. CONTRATO 036/2023, REF. ABR/MAI/ JUN 2026, POR ESTIMATIVA.</v>
      </c>
      <c r="F230" s="2" t="s">
        <v>113</v>
      </c>
      <c r="G230" s="5" t="str">
        <f>HYPERLINK("https://siafe.sefaz.ce.gov.br/Siafe/downloadSignature?token=7a6f22b9a3f94d70ac61e12494b7e756","2026NE000532")</f>
        <v>2026NE000532</v>
      </c>
      <c r="H230" s="6">
        <v>12313.68</v>
      </c>
      <c r="I230" s="7" t="s">
        <v>48</v>
      </c>
      <c r="J230" s="10" t="s">
        <v>147</v>
      </c>
      <c r="L230" s="13"/>
    </row>
    <row r="231" spans="1:12" ht="38.25" x14ac:dyDescent="0.25">
      <c r="A231" s="12" t="s">
        <v>111</v>
      </c>
      <c r="B231" s="2" t="s">
        <v>191</v>
      </c>
      <c r="C231" s="3" t="str">
        <f>HYPERLINK("https://transparencia-area-fim.mpce.mp.br/#/consulta/processo/pastadigital/092022000110511","09.2022.00011051-1")</f>
        <v>09.2022.00011051-1</v>
      </c>
      <c r="D231" s="4">
        <v>46132</v>
      </c>
      <c r="E231" s="16" t="str">
        <f>HYPERLINK("https://www8.mpce.mp.br/Empenhos/150001/Objeto/38-2022.pdf","EMPENHO REF. LOCAÇÃO DE IMÓVEL (PROMOTORIAS DE JUSTIÇA DA COMARCA DE NOVA OLINDA), CONF. CONTRATO Nº 038/2022, REF. ABR/MAI/JUN2026, POR ESTIMATIVA.")</f>
        <v>EMPENHO REF. LOCAÇÃO DE IMÓVEL (PROMOTORIAS DE JUSTIÇA DA COMARCA DE NOVA OLINDA), CONF. CONTRATO Nº 038/2022, REF. ABR/MAI/JUN2026, POR ESTIMATIVA.</v>
      </c>
      <c r="F231" s="2" t="s">
        <v>113</v>
      </c>
      <c r="G231" s="5" t="str">
        <f>HYPERLINK("https://siafe.sefaz.ce.gov.br/Siafe/downloadSignature?token=8bec7e3dd88c4550a81151148657bcde","2026NE000533")</f>
        <v>2026NE000533</v>
      </c>
      <c r="H231" s="6">
        <v>6169.35</v>
      </c>
      <c r="I231" s="7" t="s">
        <v>46</v>
      </c>
      <c r="J231" s="10" t="s">
        <v>192</v>
      </c>
      <c r="L231" s="13"/>
    </row>
    <row r="232" spans="1:12" ht="60" x14ac:dyDescent="0.25">
      <c r="A232" s="12" t="s">
        <v>122</v>
      </c>
      <c r="B232" s="2" t="s">
        <v>125</v>
      </c>
      <c r="C232" s="3" t="str">
        <f>HYPERLINK("https://transparencia-area-fim.mpce.mp.br/#/consulta/processo/pastadigital/092024000173970","09.2024.00017397-0")</f>
        <v>09.2024.00017397-0</v>
      </c>
      <c r="D232" s="4">
        <v>46132</v>
      </c>
      <c r="E232" s="17" t="str">
        <f>HYPERLINK("https://www8.mpce.mp.br/Empenhos/150001/Objeto/44-2024.pdf","EMPENHO REF. ALUGUEL DE IMÓVEL ONDE FUNCIONAM PROMOTORIAS DE JUSTIÇA DA COMARCA DE ACARAÚ-CE, CONF. CONTRATO 044/2024, REF. ABR/MAI/JUNH 2026, POR ESTIMATIVA.")</f>
        <v>EMPENHO REF. ALUGUEL DE IMÓVEL ONDE FUNCIONAM PROMOTORIAS DE JUSTIÇA DA COMARCA DE ACARAÚ-CE, CONF. CONTRATO 044/2024, REF. ABR/MAI/JUNH 2026, POR ESTIMATIVA.</v>
      </c>
      <c r="F232" s="2" t="s">
        <v>121</v>
      </c>
      <c r="G232" s="5" t="str">
        <f>HYPERLINK("https://siafe.sefaz.ce.gov.br/Siafe/downloadSignature?token=5d4e8a2f149b4fb6a13c9d111eab63df","2026NE000534")</f>
        <v>2026NE000534</v>
      </c>
      <c r="H232" s="6">
        <v>10211.64</v>
      </c>
      <c r="I232" s="7" t="s">
        <v>47</v>
      </c>
      <c r="J232" s="10" t="s">
        <v>140</v>
      </c>
      <c r="L232" s="13"/>
    </row>
    <row r="233" spans="1:12" ht="51" x14ac:dyDescent="0.25">
      <c r="A233" s="12" t="s">
        <v>111</v>
      </c>
      <c r="B233" s="2" t="s">
        <v>115</v>
      </c>
      <c r="C233" s="3" t="str">
        <f>HYPERLINK("https://transparencia-area-fim.mpce.mp.br/#/consulta/processo/pastadigital/092021000219739","09.2021.00021973-9")</f>
        <v>09.2021.00021973-9</v>
      </c>
      <c r="D233" s="4">
        <v>46132</v>
      </c>
      <c r="E233" s="16" t="str">
        <f>HYPERLINK("https://www8.mpce.mp.br/Empenhos/150001/Objeto/45-2021.pdf","EMPENHO REF. ALUGUEL DE IMÓVEL ONDE FUNCIONAM PROMOTORIAS DE JUSTIÇA DA COMARCA DE EUSÉBIO, CONF. CONTRATO 045/2021, REF. ABR/MAI/JUN 2026, POR ESTIMATIVA.")</f>
        <v>EMPENHO REF. ALUGUEL DE IMÓVEL ONDE FUNCIONAM PROMOTORIAS DE JUSTIÇA DA COMARCA DE EUSÉBIO, CONF. CONTRATO 045/2021, REF. ABR/MAI/JUN 2026, POR ESTIMATIVA.</v>
      </c>
      <c r="F233" s="2" t="s">
        <v>121</v>
      </c>
      <c r="G233" s="5" t="str">
        <f>HYPERLINK("https://siafe.sefaz.ce.gov.br/Siafe/downloadSignature?token=ea04ef0903e849aca1ab15057858b5fa","2026NE000535")</f>
        <v>2026NE000535</v>
      </c>
      <c r="H233" s="6">
        <v>5195.6400000000003</v>
      </c>
      <c r="I233" s="7" t="s">
        <v>42</v>
      </c>
      <c r="J233" s="10" t="s">
        <v>120</v>
      </c>
      <c r="L233" s="13"/>
    </row>
    <row r="234" spans="1:12" ht="51" x14ac:dyDescent="0.25">
      <c r="A234" s="12" t="s">
        <v>111</v>
      </c>
      <c r="B234" s="2" t="s">
        <v>115</v>
      </c>
      <c r="C234" s="3" t="str">
        <f>HYPERLINK("https://transparencia-area-fim.mpce.mp.br/#/consulta/processo/pastadigital/092021000219739","09.2021.00021973-9")</f>
        <v>09.2021.00021973-9</v>
      </c>
      <c r="D234" s="4">
        <v>46129</v>
      </c>
      <c r="E234" s="16" t="str">
        <f>HYPERLINK("https://www8.mpce.mp.br/Empenhos/150001/Objeto/45-2021.pdf","EMPENHO REF. ALUGUEL DE IMÓVEL ONDE FUNCIONAM PROMOTORIAS DE JUSTIÇA DA COMARCA DE EUSÉBIO, CONF. CONTRATO 045/2021, REF. ABR/2026, POR ESTIMATIVA.")</f>
        <v>EMPENHO REF. ALUGUEL DE IMÓVEL ONDE FUNCIONAM PROMOTORIAS DE JUSTIÇA DA COMARCA DE EUSÉBIO, CONF. CONTRATO 045/2021, REF. ABR/2026, POR ESTIMATIVA.</v>
      </c>
      <c r="F234" s="2" t="s">
        <v>121</v>
      </c>
      <c r="G234" s="5" t="str">
        <f>HYPERLINK("https://siafe.sefaz.ce.gov.br/Siafe/downloadSignature?token=3fb544e8e4364e7aa5f7e4582f1d1f4e","2026NE000536")</f>
        <v>2026NE000536</v>
      </c>
      <c r="H234" s="6">
        <v>524.88</v>
      </c>
      <c r="I234" s="7" t="s">
        <v>42</v>
      </c>
      <c r="J234" s="10" t="s">
        <v>120</v>
      </c>
      <c r="L234" s="13"/>
    </row>
    <row r="235" spans="1:12" ht="51" x14ac:dyDescent="0.25">
      <c r="A235" s="12" t="s">
        <v>111</v>
      </c>
      <c r="B235" s="2" t="s">
        <v>115</v>
      </c>
      <c r="C235" s="3" t="str">
        <f>HYPERLINK("http://www8.mpce.mp.br/Dispensa/2150720189.pdf","21507/2018-9")</f>
        <v>21507/2018-9</v>
      </c>
      <c r="D235" s="4">
        <v>46129</v>
      </c>
      <c r="E235" s="16" t="str">
        <f>HYPERLINK("https://www8.mpce.mp.br/Empenhos/150001/Objeto/51-2019.pdf","EMPENHO REF. ALUGUEL DE IMÓVEL QUE ABRIGA PROMOTORIAS DE JUSTIÇA DA COMARCA DE  VIÇOSA DO CEARÁ, CONF. CONTRATO 051/2019, REF. ABR/2026, POR ESTIMATIVA.")</f>
        <v>EMPENHO REF. ALUGUEL DE IMÓVEL QUE ABRIGA PROMOTORIAS DE JUSTIÇA DA COMARCA DE  VIÇOSA DO CEARÁ, CONF. CONTRATO 051/2019, REF. ABR/2026, POR ESTIMATIVA.</v>
      </c>
      <c r="F235" s="2" t="s">
        <v>113</v>
      </c>
      <c r="G235" s="5" t="str">
        <f>HYPERLINK("https://siafe.sefaz.ce.gov.br/Siafe/downloadSignature?token=d9cafec00d4c4da5ae683076514f1eb7","2026NE000537")</f>
        <v>2026NE000537</v>
      </c>
      <c r="H235" s="6">
        <v>3153.59</v>
      </c>
      <c r="I235" s="7" t="s">
        <v>90</v>
      </c>
      <c r="J235" s="10" t="s">
        <v>116</v>
      </c>
      <c r="L235" s="13"/>
    </row>
    <row r="236" spans="1:12" ht="51" x14ac:dyDescent="0.25">
      <c r="A236" s="12" t="s">
        <v>111</v>
      </c>
      <c r="B236" s="2" t="s">
        <v>115</v>
      </c>
      <c r="C236" s="3" t="str">
        <f>HYPERLINK("http://www8.mpce.mp.br/Dispensa/4503020176.pdf","45030/2017-6")</f>
        <v>45030/2017-6</v>
      </c>
      <c r="D236" s="4">
        <v>46129</v>
      </c>
      <c r="E236" s="16" t="str">
        <f>HYPERLINK("https://www8.mpce.mp.br/Empenhos/150001/Objeto/74-2019.pdf","EMPENHO ESCRITURAL REF. ALUGUEL DE IMÓVEL QUE ABRIGA PROMOTORIAS DE JUSTIÇA DA COMARCA DE GRANJA-CE, CONF. CONTRATO 074/2019, REF. ABR/2026, POR ESTIMATIVA.")</f>
        <v>EMPENHO ESCRITURAL REF. ALUGUEL DE IMÓVEL QUE ABRIGA PROMOTORIAS DE JUSTIÇA DA COMARCA DE GRANJA-CE, CONF. CONTRATO 074/2019, REF. ABR/2026, POR ESTIMATIVA.</v>
      </c>
      <c r="F236" s="2" t="s">
        <v>113</v>
      </c>
      <c r="G236" s="5" t="str">
        <f>HYPERLINK("https://siafe.sefaz.ce.gov.br/Siafe/downloadSignature?token=7adc5fa2c6494b908ac1b6a50e1468af","2026NE000538")</f>
        <v>2026NE000538</v>
      </c>
      <c r="H236" s="6">
        <v>2335.64</v>
      </c>
      <c r="I236" s="7" t="s">
        <v>88</v>
      </c>
      <c r="J236" s="10" t="s">
        <v>118</v>
      </c>
      <c r="L236" s="13"/>
    </row>
    <row r="237" spans="1:12" ht="38.25" x14ac:dyDescent="0.25">
      <c r="A237" s="12" t="s">
        <v>111</v>
      </c>
      <c r="B237" s="2" t="s">
        <v>191</v>
      </c>
      <c r="C237" s="3" t="str">
        <f>HYPERLINK("http://www8.mpce.mp.br/Dispensa/2004820193.pdf","20048/2019-3")</f>
        <v>20048/2019-3</v>
      </c>
      <c r="D237" s="4">
        <v>46129</v>
      </c>
      <c r="E237" s="16" t="str">
        <f>HYPERLINK("https://www8.mpce.mp.br/Empenhos/150001/Objeto/84-2019.pdf","EMPENHO REF. LOCAÇÃO DE IMÓVEL PROMOTORIAS DE JUSTIÇA DA COMARCA DE MOMBAÇA, CONF. CONTRATO Nº 084/2019, REF. ABR/2026, POR ESTIMATIVA.")</f>
        <v>EMPENHO REF. LOCAÇÃO DE IMÓVEL PROMOTORIAS DE JUSTIÇA DA COMARCA DE MOMBAÇA, CONF. CONTRATO Nº 084/2019, REF. ABR/2026, POR ESTIMATIVA.</v>
      </c>
      <c r="F237" s="2" t="s">
        <v>113</v>
      </c>
      <c r="G237" s="5" t="str">
        <f>HYPERLINK("https://siafe.sefaz.ce.gov.br/Siafe/downloadSignature?token=33a56842d9fb4b649ac02318d959891a","2026NE000539")</f>
        <v>2026NE000539</v>
      </c>
      <c r="H237" s="6">
        <v>4253.26</v>
      </c>
      <c r="I237" s="7" t="s">
        <v>41</v>
      </c>
      <c r="J237" s="10" t="s">
        <v>194</v>
      </c>
      <c r="L237" s="13"/>
    </row>
    <row r="238" spans="1:12" ht="45" x14ac:dyDescent="0.25">
      <c r="A238" s="12" t="s">
        <v>111</v>
      </c>
      <c r="B238" s="2" t="s">
        <v>151</v>
      </c>
      <c r="C238" s="3" t="str">
        <f>HYPERLINK("http://www8.mpce.mp.br/Dispensa/1955220197.pdf","19552/2019-7")</f>
        <v>19552/2019-7</v>
      </c>
      <c r="D238" s="4">
        <v>46129</v>
      </c>
      <c r="E238" s="17" t="str">
        <f>HYPERLINK("https://www8.mpce.mp.br/Empenhos/150001/Objeto/85-2019.pdf","EMPENHO REF. ALUGUEL DE IMÓVEL ONDE FUNCIONAM PROMOTORIAS DE JUSTIÇA DA COMARCA DE PARAIPABA, CONF. CONTRATO 085/2019, REF. ABR/2026, POR ESTIMATIVA.")</f>
        <v>EMPENHO REF. ALUGUEL DE IMÓVEL ONDE FUNCIONAM PROMOTORIAS DE JUSTIÇA DA COMARCA DE PARAIPABA, CONF. CONTRATO 085/2019, REF. ABR/2026, POR ESTIMATIVA.</v>
      </c>
      <c r="F238" s="2" t="s">
        <v>113</v>
      </c>
      <c r="G238" s="5" t="str">
        <f>HYPERLINK("https://siafe.sefaz.ce.gov.br/Siafe/downloadSignature?token=2b2132c9485841d888f77aeaacb0f708","2026NE000540")</f>
        <v>2026NE000540</v>
      </c>
      <c r="H238" s="6">
        <v>1392.13</v>
      </c>
      <c r="I238" s="7" t="s">
        <v>40</v>
      </c>
      <c r="J238" s="10" t="s">
        <v>166</v>
      </c>
      <c r="L238" s="13"/>
    </row>
    <row r="239" spans="1:12" ht="38.25" x14ac:dyDescent="0.25">
      <c r="A239" s="12" t="s">
        <v>122</v>
      </c>
      <c r="B239" s="2" t="s">
        <v>146</v>
      </c>
      <c r="C239" s="3" t="str">
        <f>HYPERLINK("https://transparencia-area-fim.mpce.mp.br/#/consulta/processo/pastadigital/092024000265223","09.2024.00026522-3")</f>
        <v>09.2024.00026522-3</v>
      </c>
      <c r="D239" s="4">
        <v>46129</v>
      </c>
      <c r="E239" s="16" t="str">
        <f>HYPERLINK("https://www8.mpce.mp.br/Empenhos/150001/Objeto/91-2024.pdf","EMPENHO REF. LOCAÇÃO DE IMÓVEL PROMOTORIAS DE JUSTIÇA DA COMARCA DE JAGUARIBE, CONF. CONTRATO Nº 091/2024, REF. ABR/2026, POR ESTIMATIVA.")</f>
        <v>EMPENHO REF. LOCAÇÃO DE IMÓVEL PROMOTORIAS DE JUSTIÇA DA COMARCA DE JAGUARIBE, CONF. CONTRATO Nº 091/2024, REF. ABR/2026, POR ESTIMATIVA.</v>
      </c>
      <c r="F239" s="2" t="s">
        <v>113</v>
      </c>
      <c r="G239" s="5" t="str">
        <f>HYPERLINK("https://siafe.sefaz.ce.gov.br/Siafe/downloadSignature?token=d5fc86aae5c94810b4d9dae14f0214db","2026NE000541")</f>
        <v>2026NE000541</v>
      </c>
      <c r="H239" s="6">
        <v>3000</v>
      </c>
      <c r="I239" s="7" t="s">
        <v>236</v>
      </c>
      <c r="J239" s="10" t="s">
        <v>237</v>
      </c>
      <c r="L239" s="13"/>
    </row>
    <row r="240" spans="1:12" ht="38.25" x14ac:dyDescent="0.25">
      <c r="A240" s="12" t="s">
        <v>122</v>
      </c>
      <c r="B240" s="2" t="s">
        <v>146</v>
      </c>
      <c r="C240" s="3" t="str">
        <f>HYPERLINK("https://transparencia-area-fim.mpce.mp.br/#/consulta/processo/pastadigital/092024000240032","09.2024.00024003-2")</f>
        <v>09.2024.00024003-2</v>
      </c>
      <c r="D240" s="4">
        <v>46129</v>
      </c>
      <c r="E240" s="16" t="str">
        <f>HYPERLINK("https://www8.mpce.mp.br/Empenhos/150001/Objeto/93-2024.pdf","EMPENHO REF. ALUGUEL DE IMÓVEL ONDE FUNCIONAM PROMOTORIAS DE JUSTIÇA DA COMARCA DE IPU, CONF. CONTRATO 093/2024, REF. ABR/2026, POR ESTIMATIVA.")</f>
        <v>EMPENHO REF. ALUGUEL DE IMÓVEL ONDE FUNCIONAM PROMOTORIAS DE JUSTIÇA DA COMARCA DE IPU, CONF. CONTRATO 093/2024, REF. ABR/2026, POR ESTIMATIVA.</v>
      </c>
      <c r="F240" s="2" t="s">
        <v>113</v>
      </c>
      <c r="G240" s="5" t="str">
        <f>HYPERLINK("https://siafe.sefaz.ce.gov.br/Siafe/downloadSignature?token=cfffccb5d5514df1bc39a5866c54ae95","2026NE000542")</f>
        <v>2026NE000542</v>
      </c>
      <c r="H240" s="6">
        <v>3817</v>
      </c>
      <c r="I240" s="7" t="s">
        <v>167</v>
      </c>
      <c r="J240" s="10" t="s">
        <v>168</v>
      </c>
      <c r="L240" s="13"/>
    </row>
    <row r="241" spans="1:12" ht="38.25" x14ac:dyDescent="0.25">
      <c r="A241" s="12" t="s">
        <v>122</v>
      </c>
      <c r="B241" s="2" t="s">
        <v>146</v>
      </c>
      <c r="C241" s="3" t="str">
        <f>HYPERLINK("https://transparencia-area-fim.mpce.mp.br/#/consulta/processo/pastadigital/092023000293915","09.2023.00029391-5")</f>
        <v>09.2023.00029391-5</v>
      </c>
      <c r="D241" s="4">
        <v>46129</v>
      </c>
      <c r="E241" s="16" t="str">
        <f>HYPERLINK("https://www8.mpce.mp.br/Empenhos/150001/Objeto/54-2023.pdf","EMPENHO REF. ALUGUEL DE IMÓVEL ONDE FUNCIONAM ALMOXARIFADO E PATRIMÔNIO, CONF. CONTRATO 054/2023, REF. ABR/2026, POR ESTIMATIVA.")</f>
        <v>EMPENHO REF. ALUGUEL DE IMÓVEL ONDE FUNCIONAM ALMOXARIFADO E PATRIMÔNIO, CONF. CONTRATO 054/2023, REF. ABR/2026, POR ESTIMATIVA.</v>
      </c>
      <c r="F241" s="2" t="s">
        <v>121</v>
      </c>
      <c r="G241" s="5" t="str">
        <f>HYPERLINK("https://siafe.sefaz.ce.gov.br/Siafe/downloadSignature?token=4d746c09aca0400cb57203a35d885401","2026NE000543")</f>
        <v>2026NE000543</v>
      </c>
      <c r="H241" s="6">
        <v>23584.99</v>
      </c>
      <c r="I241" s="7" t="s">
        <v>30</v>
      </c>
      <c r="J241" s="10" t="s">
        <v>157</v>
      </c>
      <c r="L241" s="13"/>
    </row>
    <row r="242" spans="1:12" ht="45" x14ac:dyDescent="0.25">
      <c r="A242" s="12" t="s">
        <v>111</v>
      </c>
      <c r="B242" s="2" t="s">
        <v>151</v>
      </c>
      <c r="C242" s="3" t="str">
        <f>HYPERLINK("https://transparencia-area-fim.mpce.mp.br/#/consulta/processo/pastadigital/092022000343829","09.2022.00034382-9")</f>
        <v>09.2022.00034382-9</v>
      </c>
      <c r="D242" s="4">
        <v>46129</v>
      </c>
      <c r="E242" s="17" t="str">
        <f>HYPERLINK("https://www8.mpce.mp.br/Empenhos/150001/Objeto/10-2023.pdf","EMPENHO REF. ALUGUEL DE IMÓVEL ONDE FUNCIONAM PROMOTORIAS DE JUSTIÇA DA COMARCA DE ITAPAJÉ, CONF. CONTRATO 010/2023, REF. ABR/2026, POR ESTIMATIVA.")</f>
        <v>EMPENHO REF. ALUGUEL DE IMÓVEL ONDE FUNCIONAM PROMOTORIAS DE JUSTIÇA DA COMARCA DE ITAPAJÉ, CONF. CONTRATO 010/2023, REF. ABR/2026, POR ESTIMATIVA.</v>
      </c>
      <c r="F242" s="2" t="s">
        <v>121</v>
      </c>
      <c r="G242" s="5" t="str">
        <f>HYPERLINK("https://siafe.sefaz.ce.gov.br/Siafe/downloadSignature?token=4428232444c243c19ffe16ccbbba75a4","2026NE000544")</f>
        <v>2026NE000544</v>
      </c>
      <c r="H242" s="6">
        <v>14259.64</v>
      </c>
      <c r="I242" s="7" t="s">
        <v>169</v>
      </c>
      <c r="J242" s="10" t="s">
        <v>170</v>
      </c>
      <c r="L242" s="13"/>
    </row>
    <row r="243" spans="1:12" ht="45" x14ac:dyDescent="0.25">
      <c r="A243" s="12" t="s">
        <v>111</v>
      </c>
      <c r="B243" s="2" t="s">
        <v>151</v>
      </c>
      <c r="C243" s="3" t="str">
        <f>HYPERLINK("https://transparencia-area-fim.mpce.mp.br/#/consulta/processo/pastadigital/092021000244582","09.2021.00024458-2")</f>
        <v>09.2021.00024458-2</v>
      </c>
      <c r="D243" s="4">
        <v>46129</v>
      </c>
      <c r="E243" s="17" t="str">
        <f>HYPERLINK("https://www8.mpce.mp.br/Empenhos/150001/Objeto/11-2022.pdf","EMPENHO REF. ALUGUEL DE IMÓVEL ONDE FUNCIONAM PROMOTORIAS DE JUSTIÇA DA COMARCA DE ARACATI, CONF. CONTRATO 011/2022, REF. ABR/2026, POR ESTIMATIVA.")</f>
        <v>EMPENHO REF. ALUGUEL DE IMÓVEL ONDE FUNCIONAM PROMOTORIAS DE JUSTIÇA DA COMARCA DE ARACATI, CONF. CONTRATO 011/2022, REF. ABR/2026, POR ESTIMATIVA.</v>
      </c>
      <c r="F243" s="2" t="s">
        <v>121</v>
      </c>
      <c r="G243" s="5" t="str">
        <f>HYPERLINK("https://siafe.sefaz.ce.gov.br/Siafe/downloadSignature?token=417e664fd38d4aeb840d761f46abac90","2026NE000545")</f>
        <v>2026NE000545</v>
      </c>
      <c r="H243" s="6">
        <v>19398.89</v>
      </c>
      <c r="I243" s="7" t="s">
        <v>24</v>
      </c>
      <c r="J243" s="10" t="s">
        <v>171</v>
      </c>
      <c r="L243" s="13"/>
    </row>
    <row r="244" spans="1:12" ht="51" x14ac:dyDescent="0.25">
      <c r="A244" s="12" t="s">
        <v>111</v>
      </c>
      <c r="B244" s="2" t="s">
        <v>151</v>
      </c>
      <c r="C244" s="3" t="str">
        <f>HYPERLINK("https://transparencia-area-fim.mpce.mp.br/#/consulta/processo/pastadigital/092022000343840","09.2022.00034384-0")</f>
        <v>09.2022.00034384-0</v>
      </c>
      <c r="D244" s="4">
        <v>46129</v>
      </c>
      <c r="E244" s="16" t="str">
        <f>HYPERLINK("https://www8.mpce.mp.br/Empenhos/150001/Objeto/11-2023.pdf","EMPENHO REF. ALUGUEL DE IMÓVEL ONDE FUNCIONAM PROMOTORIAS DE JUSTIÇA DA COMARCA DE SANTA QUITÉRIA, CONF. CONTRATO 011/2023, REF. ABR/2026, POR ESTIMATIVA.")</f>
        <v>EMPENHO REF. ALUGUEL DE IMÓVEL ONDE FUNCIONAM PROMOTORIAS DE JUSTIÇA DA COMARCA DE SANTA QUITÉRIA, CONF. CONTRATO 011/2023, REF. ABR/2026, POR ESTIMATIVA.</v>
      </c>
      <c r="F244" s="2" t="s">
        <v>121</v>
      </c>
      <c r="G244" s="5" t="str">
        <f>HYPERLINK("https://siafe.sefaz.ce.gov.br/Siafe/downloadSignature?token=61fa0c14a6634e90836c83a0fec847dc","2026NE000546")</f>
        <v>2026NE000546</v>
      </c>
      <c r="H244" s="6">
        <v>13867.6</v>
      </c>
      <c r="I244" s="7" t="s">
        <v>53</v>
      </c>
      <c r="J244" s="10" t="s">
        <v>235</v>
      </c>
      <c r="L244" s="13"/>
    </row>
    <row r="245" spans="1:12" ht="51" x14ac:dyDescent="0.25">
      <c r="A245" s="12" t="s">
        <v>111</v>
      </c>
      <c r="B245" s="2" t="s">
        <v>151</v>
      </c>
      <c r="C245" s="3" t="str">
        <f>HYPERLINK("https://transparencia-area-fim.mpce.mp.br/#/consulta/processo/pastadigital/092021000244449","09.2021.00024444-9")</f>
        <v>09.2021.00024444-9</v>
      </c>
      <c r="D245" s="4">
        <v>46127</v>
      </c>
      <c r="E245" s="16" t="str">
        <f>HYPERLINK("https://www8.mpce.mp.br/Empenhos/150001/Objeto/12-2022.pdf","EMPENHO REF. ALUGUEL DE IMÓVEL ONDE FUNCIONAM PROMOTORIAS DE JUSTIÇA DA COMARCA DE RUSSAS, CONF. CONTRATO 012/2022, REF. ABR/2026, POR ESTIMATIVA.")</f>
        <v>EMPENHO REF. ALUGUEL DE IMÓVEL ONDE FUNCIONAM PROMOTORIAS DE JUSTIÇA DA COMARCA DE RUSSAS, CONF. CONTRATO 012/2022, REF. ABR/2026, POR ESTIMATIVA.</v>
      </c>
      <c r="F245" s="2" t="s">
        <v>121</v>
      </c>
      <c r="G245" s="5" t="str">
        <f>HYPERLINK("https://siafe.sefaz.ce.gov.br/Siafe/downloadSignature?token=8db75ae5a1ce47d5a9c1a275ce60f780","2026NE000547")</f>
        <v>2026NE000547</v>
      </c>
      <c r="H245" s="6">
        <v>21918.43</v>
      </c>
      <c r="I245" s="7" t="s">
        <v>164</v>
      </c>
      <c r="J245" s="10" t="s">
        <v>165</v>
      </c>
      <c r="L245" s="13"/>
    </row>
    <row r="246" spans="1:12" ht="51" x14ac:dyDescent="0.25">
      <c r="A246" s="12" t="s">
        <v>111</v>
      </c>
      <c r="B246" s="2" t="s">
        <v>151</v>
      </c>
      <c r="C246" s="3" t="str">
        <f>HYPERLINK("https://transparencia-area-fim.mpce.mp.br/#/consulta/processo/pastadigital/092022000081432","09.2022.00008143-2")</f>
        <v>09.2022.00008143-2</v>
      </c>
      <c r="D246" s="4">
        <v>46127</v>
      </c>
      <c r="E246" s="16" t="str">
        <f>HYPERLINK("https://www8.mpce.mp.br/Empenhos/150001/Objeto/16-2022.pdf","EMPENHO REF. ALUGUEL DE IMÓVEL ONDE FUNCIONAM PROMOTORIAS DE JUSTIÇA DA COMARCA DE BARBALHA, CONF. CONTRATO 016/2022, REF. ABR/2026, POR ESTIMATIVA.")</f>
        <v>EMPENHO REF. ALUGUEL DE IMÓVEL ONDE FUNCIONAM PROMOTORIAS DE JUSTIÇA DA COMARCA DE BARBALHA, CONF. CONTRATO 016/2022, REF. ABR/2026, POR ESTIMATIVA.</v>
      </c>
      <c r="F246" s="2" t="s">
        <v>121</v>
      </c>
      <c r="G246" s="5" t="str">
        <f>HYPERLINK("https://siafe.sefaz.ce.gov.br/Siafe/downloadSignature?token=ba0f4750055745f5a28254f7a58bd35b","2026NE000548")</f>
        <v>2026NE000548</v>
      </c>
      <c r="H246" s="6">
        <v>17343.07</v>
      </c>
      <c r="I246" s="7" t="s">
        <v>20</v>
      </c>
      <c r="J246" s="10" t="s">
        <v>135</v>
      </c>
      <c r="L246" s="13"/>
    </row>
    <row r="247" spans="1:12" ht="38.25" x14ac:dyDescent="0.25">
      <c r="A247" s="12" t="s">
        <v>111</v>
      </c>
      <c r="B247" s="2" t="s">
        <v>141</v>
      </c>
      <c r="C247" s="3" t="str">
        <f>HYPERLINK("https://transparencia-area-fim.mpce.mp.br/#/consulta/processo/pastadigital/092021000065217","09.2021.00006521-7")</f>
        <v>09.2021.00006521-7</v>
      </c>
      <c r="D247" s="4">
        <v>46127</v>
      </c>
      <c r="E247" s="16" t="str">
        <f>HYPERLINK("https://www8.mpce.mp.br/Empenhos/150001/Objeto/38-2021.pdf","EMPENHO REF. ALUGUEL DE IMÓVEL ONDE FUNCIONAM PROMOTORIAS DE JUSTIÇA DA COMARCA DE TAUÁ, CONF. CONTRATO 038/2021, REF. ABR/2026, POR ESTIMATIVA.")</f>
        <v>EMPENHO REF. ALUGUEL DE IMÓVEL ONDE FUNCIONAM PROMOTORIAS DE JUSTIÇA DA COMARCA DE TAUÁ, CONF. CONTRATO 038/2021, REF. ABR/2026, POR ESTIMATIVA.</v>
      </c>
      <c r="F247" s="2" t="s">
        <v>121</v>
      </c>
      <c r="G247" s="5" t="str">
        <f>HYPERLINK("https://siafe.sefaz.ce.gov.br/Siafe/downloadSignature?token=66c08f0645c040fabb8bdee54dd32143","2026NE000549")</f>
        <v>2026NE000549</v>
      </c>
      <c r="H247" s="6">
        <v>19504.8</v>
      </c>
      <c r="I247" s="7" t="s">
        <v>26</v>
      </c>
      <c r="J247" s="10" t="s">
        <v>142</v>
      </c>
      <c r="L247" s="13"/>
    </row>
    <row r="248" spans="1:12" ht="38.25" x14ac:dyDescent="0.25">
      <c r="A248" s="12" t="s">
        <v>111</v>
      </c>
      <c r="B248" s="2" t="s">
        <v>115</v>
      </c>
      <c r="C248" s="3" t="str">
        <f>HYPERLINK("https://transparencia-area-fim.mpce.mp.br/#/consulta/processo/pastadigital/092022000230870","09.2022.00023087-0")</f>
        <v>09.2022.00023087-0</v>
      </c>
      <c r="D248" s="4">
        <v>46127</v>
      </c>
      <c r="E248" s="16" t="str">
        <f>HYPERLINK("https://www8.mpce.mp.br/Empenhos/150001/Objeto/29-2022.pdf","EMPENHO REF. EMPENHO DE IPTU/2026, PARCELA ÚNICA, CONF. CONTRATO 029/2022, REF. IPTU/2026, POR ESTIMATIVA.")</f>
        <v>EMPENHO REF. EMPENHO DE IPTU/2026, PARCELA ÚNICA, CONF. CONTRATO 029/2022, REF. IPTU/2026, POR ESTIMATIVA.</v>
      </c>
      <c r="F248" s="2" t="s">
        <v>289</v>
      </c>
      <c r="G248" s="5" t="str">
        <f>HYPERLINK("https://siafe.sefaz.ce.gov.br/Siafe/downloadSignature?token=6d9534134ed04d6fb3c782c6e1b29c18","2026NE000550")</f>
        <v>2026NE000550</v>
      </c>
      <c r="H248" s="6">
        <v>6115.76</v>
      </c>
      <c r="I248" s="7" t="s">
        <v>20</v>
      </c>
      <c r="J248" s="10" t="s">
        <v>135</v>
      </c>
      <c r="L248" s="13"/>
    </row>
    <row r="249" spans="1:12" ht="51" x14ac:dyDescent="0.25">
      <c r="A249" s="12" t="s">
        <v>122</v>
      </c>
      <c r="B249" s="2" t="s">
        <v>123</v>
      </c>
      <c r="C249" s="3" t="str">
        <f>HYPERLINK("https://transparencia-area-fim.mpce.mp.br/#/consulta/processo/pastadigital/092022000426227","09.2022.00042622-7")</f>
        <v>09.2022.00042622-7</v>
      </c>
      <c r="D249" s="4">
        <v>46129</v>
      </c>
      <c r="E249" s="16" t="str">
        <f>HYPERLINK("https://www8.mpce.mp.br/Empenhos/150001/Objeto/33-2023.pdf","EMPENHO REF, RETROATIVO DOS ALUGUÉIS DOS MESES DE JAN/2026 E FEV/2026, ONDE FUNCIONAM PROMOTORIAS DE JUSTIÇA DA COMARCA DE JUCÁS, CONF. CONTRATO 033/2023, POR ESTIMATIVA.")</f>
        <v>EMPENHO REF, RETROATIVO DOS ALUGUÉIS DOS MESES DE JAN/2026 E FEV/2026, ONDE FUNCIONAM PROMOTORIAS DE JUSTIÇA DA COMARCA DE JUCÁS, CONF. CONTRATO 033/2023, POR ESTIMATIVA.</v>
      </c>
      <c r="F249" s="2" t="s">
        <v>113</v>
      </c>
      <c r="G249" s="5" t="str">
        <f>HYPERLINK("https://siafe.sefaz.ce.gov.br/Siafe/downloadSignature?token=3ef51df2e9744210bfac57773b7cbc47","2026NE000560")</f>
        <v>2026NE000560</v>
      </c>
      <c r="H249" s="6">
        <v>219.34</v>
      </c>
      <c r="I249" s="7" t="s">
        <v>45</v>
      </c>
      <c r="J249" s="10" t="s">
        <v>150</v>
      </c>
      <c r="L249" s="13"/>
    </row>
    <row r="250" spans="1:12" ht="89.25" x14ac:dyDescent="0.25">
      <c r="A250" s="12" t="s">
        <v>122</v>
      </c>
      <c r="B250" s="2" t="s">
        <v>248</v>
      </c>
      <c r="C250" s="3" t="str">
        <f>HYPERLINK("https://transparencia-area-fim.mpce.mp.br/#/consulta/processo/pastadigital/092023000254844","09.2023.00025484-4")</f>
        <v>09.2023.00025484-4</v>
      </c>
      <c r="D250" s="4">
        <v>46129</v>
      </c>
      <c r="E250" s="16" t="str">
        <f>HYPERLINK("https://www8.mpce.mp.br/Empenhos/150001/Objeto/03-2024.pdf","EMPENHO REF. PRESTAÇÃO DE SERVIÇO DE MANUTENÇÃO PARA EQUIPAMENTOS DE COMPUTAÇÃO INSTALADOS NO DATACENTER DA PGJ/CE, CONF. CONTRATO 003/2024 E TERMO DE RECONHECIMENTO DE DÍVIDA 0"&amp;"021/2026/SEFIN, REF. VALORES REAJUSTADOS DOS MESES DE JAN, FEV, MAR, ABR E MAI/2025.            DEA: 26001820.           NP: 2026NP000118.")</f>
        <v>EMPENHO REF. PRESTAÇÃO DE SERVIÇO DE MANUTENÇÃO PARA EQUIPAMENTOS DE COMPUTAÇÃO INSTALADOS NO DATACENTER DA PGJ/CE, CONF. CONTRATO 003/2024 E TERMO DE RECONHECIMENTO DE DÍVIDA 0021/2026/SEFIN, REF. VALORES REAJUSTADOS DOS MESES DE JAN, FEV, MAR, ABR E MAI/2025.            DEA: 26001820.           NP: 2026NP000118.</v>
      </c>
      <c r="F250" s="2" t="s">
        <v>281</v>
      </c>
      <c r="G250" s="5" t="str">
        <f>HYPERLINK("https://siafe.sefaz.ce.gov.br/Siafe/downloadSignature?token=724607e36b394595893d24f8be990b91","2026NE000562")</f>
        <v>2026NE000562</v>
      </c>
      <c r="H250" s="6">
        <v>683.81</v>
      </c>
      <c r="I250" s="7" t="s">
        <v>54</v>
      </c>
      <c r="J250" s="10" t="s">
        <v>250</v>
      </c>
      <c r="L250" s="13"/>
    </row>
    <row r="251" spans="1:12" ht="51" x14ac:dyDescent="0.25">
      <c r="A251" s="12" t="s">
        <v>111</v>
      </c>
      <c r="B251" s="2" t="s">
        <v>151</v>
      </c>
      <c r="C251" s="3" t="str">
        <f>HYPERLINK("https://transparencia-area-fim.mpce.mp.br/#/consulta/processo/pastadigital/092021000244271","09.2021.00024427-1")</f>
        <v>09.2021.00024427-1</v>
      </c>
      <c r="D251" s="4">
        <v>46140</v>
      </c>
      <c r="E251" s="16" t="str">
        <f>HYPERLINK("https://www8.mpce.mp.br/Empenhos/150001/Objeto/17-2022.pdf","EMPENHO REF. RETROATIVOS DOS ALUGUÉIS DE IMÓVEL ONDE FUNCIONAM PROMOTORIAS DE JUSTIÇA DA COMARCA DE TIANGUÁ, CONF. CONTRATO 017/2022, REF. JAN A MAR/2026, POR ESTIMATIVA.")</f>
        <v>EMPENHO REF. RETROATIVOS DOS ALUGUÉIS DE IMÓVEL ONDE FUNCIONAM PROMOTORIAS DE JUSTIÇA DA COMARCA DE TIANGUÁ, CONF. CONTRATO 017/2022, REF. JAN A MAR/2026, POR ESTIMATIVA.</v>
      </c>
      <c r="F251" s="2" t="s">
        <v>121</v>
      </c>
      <c r="G251" s="5" t="str">
        <f>HYPERLINK("https://siafe.sefaz.ce.gov.br/Siafe/downloadSignature?token=5e209f3a05a246e7bd465cdf5ba5ddab","2026NE000572")</f>
        <v>2026NE000572</v>
      </c>
      <c r="H251" s="6">
        <v>3958.5</v>
      </c>
      <c r="I251" s="7" t="s">
        <v>22</v>
      </c>
      <c r="J251" s="10" t="s">
        <v>174</v>
      </c>
      <c r="L251" s="13"/>
    </row>
    <row r="252" spans="1:12" ht="51" x14ac:dyDescent="0.25">
      <c r="A252" s="12" t="s">
        <v>122</v>
      </c>
      <c r="B252" s="2" t="s">
        <v>245</v>
      </c>
      <c r="C252" s="3" t="str">
        <f>HYPERLINK("https://transparencia-area-fim.mpce.mp.br/#/consulta/processo/pastadigital/092023000385590","09.2023.00038559-0")</f>
        <v>09.2023.00038559-0</v>
      </c>
      <c r="D252" s="4">
        <v>46135</v>
      </c>
      <c r="E252" s="16" t="str">
        <f>HYPERLINK("https://www8.mpce.mp.br/Empenhos/150001/Objeto/25-2024.pdf","EMPENHO REF. LICENÇAS DE ACESSO ÁS PLATAFORMAS DE SAÚDE FÍSICA WELLHUB E MENAL WELLZ PARA MEMBROS E SERVIDORES DO MP-CE, POR ESTIMATIVA E PARA ABR/2026, CONFORME CONTRATO 025/2024.")</f>
        <v>EMPENHO REF. LICENÇAS DE ACESSO ÁS PLATAFORMAS DE SAÚDE FÍSICA WELLHUB E MENAL WELLZ PARA MEMBROS E SERVIDORES DO MP-CE, POR ESTIMATIVA E PARA ABR/2026, CONFORME CONTRATO 025/2024.</v>
      </c>
      <c r="F252" s="2" t="s">
        <v>246</v>
      </c>
      <c r="G252" s="5" t="str">
        <f>HYPERLINK("https://siafe.sefaz.ce.gov.br/Siafe/downloadSignature?token=49d65ae753794069b9ef15afc299aadb","2026NE000573")</f>
        <v>2026NE000573</v>
      </c>
      <c r="H252" s="6">
        <v>53848.34</v>
      </c>
      <c r="I252" s="7" t="s">
        <v>55</v>
      </c>
      <c r="J252" s="10" t="s">
        <v>247</v>
      </c>
      <c r="L252" s="13"/>
    </row>
    <row r="253" spans="1:12" ht="51" x14ac:dyDescent="0.25">
      <c r="A253" s="12" t="s">
        <v>111</v>
      </c>
      <c r="B253" s="2" t="s">
        <v>151</v>
      </c>
      <c r="C253" s="3" t="str">
        <f>HYPERLINK("https://transparencia-area-fim.mpce.mp.br/#/consulta/processo/pastadigital/092026000095820","09.2026.00009582-0")</f>
        <v>09.2026.00009582-0</v>
      </c>
      <c r="D253" s="4">
        <v>46136</v>
      </c>
      <c r="E253" s="16" t="str">
        <f>HYPERLINK("https://www8.mpce.mp.br/Empenhos/150001/Objeto/16-2017.pdf","EMPENHO REF.  AO IPTU DE IMÓVEL ONDE FUNCIONAM PROMOTORIAS DE JUSTIÇA DA COMARCA CRIMINAIS DE FORTALEZA, CONF. CONTRATO 016/2017, REF. IPTU/2026 DA 2ª À 11ª PARCELA, POR ESTIMATIVA.")</f>
        <v>EMPENHO REF.  AO IPTU DE IMÓVEL ONDE FUNCIONAM PROMOTORIAS DE JUSTIÇA DA COMARCA CRIMINAIS DE FORTALEZA, CONF. CONTRATO 016/2017, REF. IPTU/2026 DA 2ª À 11ª PARCELA, POR ESTIMATIVA.</v>
      </c>
      <c r="F253" s="2" t="s">
        <v>289</v>
      </c>
      <c r="G253" s="5" t="str">
        <f>HYPERLINK("https://siafe.sefaz.ce.gov.br/Siafe/downloadSignature?token=e552e51377b448e6aeb19a28fb51a787","2026NE000579")</f>
        <v>2026NE000579</v>
      </c>
      <c r="H253" s="6">
        <v>28632.1</v>
      </c>
      <c r="I253" s="7" t="s">
        <v>29</v>
      </c>
      <c r="J253" s="10" t="s">
        <v>154</v>
      </c>
      <c r="L253" s="13"/>
    </row>
    <row r="254" spans="1:12" ht="38.25" x14ac:dyDescent="0.25">
      <c r="A254" s="12" t="s">
        <v>122</v>
      </c>
      <c r="B254" s="2" t="s">
        <v>203</v>
      </c>
      <c r="C254" s="3" t="str">
        <f>HYPERLINK("https://transparencia-area-fim.mpce.mp.br/#/consulta/processo/pastadigital/092026000042355","09.2026.00004235-5")</f>
        <v>09.2026.00004235-5</v>
      </c>
      <c r="D254" s="4">
        <v>46140</v>
      </c>
      <c r="E254" s="16" t="str">
        <f>HYPERLINK("https://www8.mpce.mp.br/Empenhos/150001/Objeto/10-2026.pdf","EMPENHO REF.  SERVIÇO DE SUPORTE TÉCNICO DA SOLUÇÃO GUARDIÃO WEB-BY NGC, CONF. CONTRATO 010/2026, REF. ABR/2026, POR ESTIMATIVA.")</f>
        <v>EMPENHO REF.  SERVIÇO DE SUPORTE TÉCNICO DA SOLUÇÃO GUARDIÃO WEB-BY NGC, CONF. CONTRATO 010/2026, REF. ABR/2026, POR ESTIMATIVA.</v>
      </c>
      <c r="F254" s="2" t="s">
        <v>252</v>
      </c>
      <c r="G254" s="5" t="str">
        <f>HYPERLINK("https://siafe.sefaz.ce.gov.br/Siafe/downloadSignature?token=49f1accc879b411fb693558bd837bf1b","2026NE000581")</f>
        <v>2026NE000581</v>
      </c>
      <c r="H254" s="6">
        <v>25243.79</v>
      </c>
      <c r="I254" s="7" t="s">
        <v>57</v>
      </c>
      <c r="J254" s="10" t="s">
        <v>253</v>
      </c>
      <c r="L254" s="13"/>
    </row>
    <row r="255" spans="1:12" ht="51" x14ac:dyDescent="0.25">
      <c r="A255" s="12" t="s">
        <v>111</v>
      </c>
      <c r="B255" s="2" t="s">
        <v>115</v>
      </c>
      <c r="C255" s="3" t="str">
        <f>HYPERLINK("https://transparencia-area-fim.mpce.mp.br/#/consulta/processo/pastadigital/092021000219739","09.2021.00021973-9")</f>
        <v>09.2021.00021973-9</v>
      </c>
      <c r="D255" s="4">
        <v>46148</v>
      </c>
      <c r="E255" s="16" t="str">
        <f>HYPERLINK("https://www8.mpce.mp.br/Empenhos/150001/Objeto/45-2021.pdf","EMPENHO REF. TAXAS CONDOMINIAIS ONDE FUNCIONAM PROMOTORIAS DE JUSTIÇA DA COMARCA DE EUSÉBIO, CONF. CONTRATO 045/2021, REF. ABR/2026, POR ESTIMATIVA.")</f>
        <v>EMPENHO REF. TAXAS CONDOMINIAIS ONDE FUNCIONAM PROMOTORIAS DE JUSTIÇA DA COMARCA DE EUSÉBIO, CONF. CONTRATO 045/2021, REF. ABR/2026, POR ESTIMATIVA.</v>
      </c>
      <c r="F255" s="2" t="s">
        <v>119</v>
      </c>
      <c r="G255" s="5" t="str">
        <f>HYPERLINK("https://siafe.sefaz.ce.gov.br/Siafe/downloadSignature?token=2f57fd759b0942e9953b86c65f0b81d4","2026NE000592")</f>
        <v>2026NE000592</v>
      </c>
      <c r="H255" s="6">
        <v>524.88</v>
      </c>
      <c r="I255" s="7" t="s">
        <v>42</v>
      </c>
      <c r="J255" s="10" t="s">
        <v>120</v>
      </c>
      <c r="L255" s="13"/>
    </row>
    <row r="256" spans="1:12" ht="51" x14ac:dyDescent="0.25">
      <c r="A256" s="12" t="s">
        <v>111</v>
      </c>
      <c r="B256" s="2" t="s">
        <v>159</v>
      </c>
      <c r="C256" s="3" t="str">
        <f>HYPERLINK("https://transparencia-area-fim.mpce.mp.br/#/consulta/processo/pastadigital/092023000338541","09.2023.00033854-1")</f>
        <v>09.2023.00033854-1</v>
      </c>
      <c r="D256" s="4">
        <v>46147</v>
      </c>
      <c r="E256" s="16" t="str">
        <f>HYPERLINK("https://www8.mpce.mp.br/Empenhos/150001/Objeto/36-2024.pdf","EMPENHO REF. ALUGUEL DE IMÓVEL ONDE FUNCIONAM PROMOTORIAS DE JUSTIÇA DA COMARCA DE MORADA NOVA, CONF. CONTRATO 036/2024, REF. ABR, 2026, POR ESTIMATIVA.")</f>
        <v>EMPENHO REF. ALUGUEL DE IMÓVEL ONDE FUNCIONAM PROMOTORIAS DE JUSTIÇA DA COMARCA DE MORADA NOVA, CONF. CONTRATO 036/2024, REF. ABR, 2026, POR ESTIMATIVA.</v>
      </c>
      <c r="F256" s="2" t="s">
        <v>121</v>
      </c>
      <c r="G256" s="5" t="str">
        <f>HYPERLINK("https://siafe.sefaz.ce.gov.br/Siafe/downloadSignature?token=4178136741644272bcb10c20a42cdd84","2026NE000595")</f>
        <v>2026NE000595</v>
      </c>
      <c r="H256" s="6">
        <v>18387.5</v>
      </c>
      <c r="I256" s="7" t="s">
        <v>27</v>
      </c>
      <c r="J256" s="10" t="s">
        <v>134</v>
      </c>
      <c r="L256" s="13"/>
    </row>
    <row r="257" spans="1:12" ht="38.25" x14ac:dyDescent="0.25">
      <c r="A257" s="12" t="s">
        <v>111</v>
      </c>
      <c r="B257" s="2" t="s">
        <v>322</v>
      </c>
      <c r="C257" s="3" t="str">
        <f>HYPERLINK("https://transparencia-area-fim.mpce.mp.br/#/consulta/processo/pastadigital/092021000157125","09.2021.00015712-5")</f>
        <v>09.2021.00015712-5</v>
      </c>
      <c r="D257" s="4">
        <v>46147</v>
      </c>
      <c r="E257" s="16" t="str">
        <f>HYPERLINK("https://www8.mpce.mp.br/Empenhos/150001/Objeto/32-2021.pdf","EMPENHO REF. SEGURO DE VIDA DOS ESTAGIÁRIOS, CONF. CONTRATO 032/2021, REF. ABR, MAI E JUN/2025, POR ESTIMATIVA.")</f>
        <v>EMPENHO REF. SEGURO DE VIDA DOS ESTAGIÁRIOS, CONF. CONTRATO 032/2021, REF. ABR, MAI E JUN/2025, POR ESTIMATIVA.</v>
      </c>
      <c r="F257" s="2" t="s">
        <v>197</v>
      </c>
      <c r="G257" s="5" t="str">
        <f>HYPERLINK("https://siafe.sefaz.ce.gov.br/Siafe/downloadSignature?token=7df69383873e4ef28b3fb6211e0dd6b9","2026NE000596")</f>
        <v>2026NE000596</v>
      </c>
      <c r="H257" s="6">
        <v>570</v>
      </c>
      <c r="I257" s="7" t="s">
        <v>56</v>
      </c>
      <c r="J257" s="10" t="s">
        <v>198</v>
      </c>
      <c r="L257" s="13"/>
    </row>
    <row r="258" spans="1:12" ht="102" x14ac:dyDescent="0.25">
      <c r="A258" s="12" t="s">
        <v>122</v>
      </c>
      <c r="B258" s="2" t="s">
        <v>297</v>
      </c>
      <c r="C258" s="3" t="str">
        <f>HYPERLINK("https://transparencia-area-fim.mpce.mp.br/#/consulta/processo/pastadigital/092026000056716","09.2026.00005671-6")</f>
        <v>09.2026.00005671-6</v>
      </c>
      <c r="D258" s="4">
        <v>46105</v>
      </c>
      <c r="E258" s="16" t="s">
        <v>298</v>
      </c>
      <c r="F258" s="2" t="s">
        <v>254</v>
      </c>
      <c r="G258" s="5" t="str">
        <f>HYPERLINK("https://siafe.sefaz.ce.gov.br/Siafe/downloadSignature?token=1d7229da674f472b8f55eea0761feb24","2026NE000597")</f>
        <v>2026NE000597</v>
      </c>
      <c r="H258" s="6">
        <v>5000</v>
      </c>
      <c r="I258" s="7" t="s">
        <v>299</v>
      </c>
      <c r="J258" s="10" t="s">
        <v>300</v>
      </c>
      <c r="L258" s="13"/>
    </row>
    <row r="259" spans="1:12" ht="51" x14ac:dyDescent="0.25">
      <c r="A259" s="12" t="s">
        <v>111</v>
      </c>
      <c r="B259" s="2" t="s">
        <v>115</v>
      </c>
      <c r="C259" s="3" t="str">
        <f>HYPERLINK("http://www8.mpce.mp.br/Dispensa/4503020176.pdf","45030/2017-6")</f>
        <v>45030/2017-6</v>
      </c>
      <c r="D259" s="4">
        <v>46148</v>
      </c>
      <c r="E259" s="16" t="str">
        <f>HYPERLINK("https://www8.mpce.mp.br/Empenhos/150001/Objeto/74-2019.pdf","EMPENHO REF. ALUGUEL DE IMÓVEL QUE ABRIGA PROMOTORIAS DE JUSTIÇA DA COMARCA DE GRANJA-CE, CONF. CONTRATO 074/2019, REF. ABR/2026, POR ESTIMATIVA.")</f>
        <v>EMPENHO REF. ALUGUEL DE IMÓVEL QUE ABRIGA PROMOTORIAS DE JUSTIÇA DA COMARCA DE GRANJA-CE, CONF. CONTRATO 074/2019, REF. ABR/2026, POR ESTIMATIVA.</v>
      </c>
      <c r="F259" s="2" t="s">
        <v>113</v>
      </c>
      <c r="G259" s="5" t="str">
        <f>HYPERLINK("https://siafe.sefaz.ce.gov.br/Siafe/downloadSignature?token=5652cd915b56417ebbbc237284f2f0a2","2026NE000598")</f>
        <v>2026NE000598</v>
      </c>
      <c r="H259" s="6">
        <v>2335.64</v>
      </c>
      <c r="I259" s="7" t="s">
        <v>88</v>
      </c>
      <c r="J259" s="10" t="s">
        <v>118</v>
      </c>
      <c r="L259" s="13"/>
    </row>
    <row r="260" spans="1:12" ht="89.25" x14ac:dyDescent="0.25">
      <c r="A260" s="12" t="s">
        <v>122</v>
      </c>
      <c r="B260" s="2" t="s">
        <v>206</v>
      </c>
      <c r="C260" s="3" t="str">
        <f>HYPERLINK("https://transparencia-area-fim.mpce.mp.br/#/consulta/processo/pastadigital/092023000255300","09.2023.00025530-0")</f>
        <v>09.2023.00025530-0</v>
      </c>
      <c r="D260" s="4">
        <v>46149</v>
      </c>
      <c r="E260" s="16" t="str">
        <f>HYPERLINK("https://www8.mpce.mp.br/Empenhos/150001/Objeto/42-2024.pdf","EMPENHO DEA REF. SERVIÇOS DE SUPORTE EM T.I. - SISTEMA SAJ-MP - SUSTENTAÇÃO, CONF. 2° TERMO DE APOSTILAMENTO AO CONTRATO 042/2024 E TERMO DE RECONHECIMENTO DE DÍVIDA 023/2026/SE"&amp;"FIN (FLS. 64 E 68), REF. DIFERENÇA DE REAJUSTE RETROATIVO ÀS COMPETÊNCIAS JUN, JUL, AGO, SET, OUT, NOV E DEZ/2025.           DEA: 26002277.	   NP: 2026NP000138.")</f>
        <v>EMPENHO DEA REF. SERVIÇOS DE SUPORTE EM T.I. - SISTEMA SAJ-MP - SUSTENTAÇÃO, CONF. 2° TERMO DE APOSTILAMENTO AO CONTRATO 042/2024 E TERMO DE RECONHECIMENTO DE DÍVIDA 023/2026/SEFIN (FLS. 64 E 68), REF. DIFERENÇA DE REAJUSTE RETROATIVO ÀS COMPETÊNCIAS JUN, JUL, AGO, SET, OUT, NOV E DEZ/2025.           DEA: 26002277.	   NP: 2026NP000138.</v>
      </c>
      <c r="F260" s="2" t="s">
        <v>281</v>
      </c>
      <c r="G260" s="5" t="str">
        <f>HYPERLINK("https://siafe.sefaz.ce.gov.br/Siafe/downloadSignature?token=75e14e36f9214e6cb62ba01eb4a6ba0b","2026NE000607")</f>
        <v>2026NE000607</v>
      </c>
      <c r="H260" s="6">
        <v>30463.67</v>
      </c>
      <c r="I260" s="7" t="s">
        <v>70</v>
      </c>
      <c r="J260" s="10" t="s">
        <v>207</v>
      </c>
      <c r="L260" s="13"/>
    </row>
    <row r="261" spans="1:12" ht="114.75" x14ac:dyDescent="0.25">
      <c r="A261" s="12" t="s">
        <v>122</v>
      </c>
      <c r="B261" s="2" t="s">
        <v>206</v>
      </c>
      <c r="C261" s="3" t="str">
        <f>HYPERLINK("https://transparencia-area-fim.mpce.mp.br/#/consulta/processo/pastadigital/092023000255300","09.2023.00025530-0")</f>
        <v>09.2023.00025530-0</v>
      </c>
      <c r="D261" s="4">
        <v>46149</v>
      </c>
      <c r="E261" s="16" t="str">
        <f>HYPERLINK("https://www8.mpce.mp.br/Empenhos/150001/Objeto/42-2024.pdf","EMPENHO REF. SERVIÇOS DE DESENVOLVIMENTO E MANUTENÇÃO DE SOFTWARE - SISTEMA SAJ-MP - GARANTIA DE EVOLUÇÃO TECNOLÓGICA E FUNCIONAL (GETF), CONF. 2° TERMO DE APOSTILAMENTO AO CONT"&amp;"RATO 042/2024 E TERMO DE RECONHECIMENTO DE DÍVIDA 023/2026/SEFIN (FLS. 64 E 68), REF. DIFERENÇA DE REAJUSTE RETROATIVO ÀS COMPETÊNCIAS JUN, JUL, AGO, SET, OUT, NOV E DEZ/2025.           DEA: 26002278.	   NP: 2026NP000139.")</f>
        <v>EMPENHO REF. SERVIÇOS DE DESENVOLVIMENTO E MANUTENÇÃO DE SOFTWARE - SISTEMA SAJ-MP - GARANTIA DE EVOLUÇÃO TECNOLÓGICA E FUNCIONAL (GETF), CONF. 2° TERMO DE APOSTILAMENTO AO CONTRATO 042/2024 E TERMO DE RECONHECIMENTO DE DÍVIDA 023/2026/SEFIN (FLS. 64 E 68), REF. DIFERENÇA DE REAJUSTE RETROATIVO ÀS COMPETÊNCIAS JUN, JUL, AGO, SET, OUT, NOV E DEZ/2025.           DEA: 26002278.	   NP: 2026NP000139.</v>
      </c>
      <c r="F261" s="2" t="s">
        <v>281</v>
      </c>
      <c r="G261" s="5" t="str">
        <f>HYPERLINK("https://siafe.sefaz.ce.gov.br/Siafe/downloadSignature?token=8f5091c0ecf24f30b2ada1816ce35390","2026NE000608")</f>
        <v>2026NE000608</v>
      </c>
      <c r="H261" s="6">
        <v>56318.22</v>
      </c>
      <c r="I261" s="7" t="s">
        <v>70</v>
      </c>
      <c r="J261" s="10" t="s">
        <v>207</v>
      </c>
      <c r="L261" s="13"/>
    </row>
    <row r="262" spans="1:12" ht="102" x14ac:dyDescent="0.25">
      <c r="A262" s="12" t="s">
        <v>122</v>
      </c>
      <c r="B262" s="2" t="s">
        <v>206</v>
      </c>
      <c r="C262" s="3" t="str">
        <f>HYPERLINK("https://transparencia-area-fim.mpce.mp.br/#/consulta/processo/pastadigital/092023000255300","09.2023.00025530-0")</f>
        <v>09.2023.00025530-0</v>
      </c>
      <c r="D262" s="4">
        <v>46149</v>
      </c>
      <c r="E262" s="16" t="str">
        <f>HYPERLINK("https://www8.mpce.mp.br/Empenhos/150001/Objeto/42-2024.pdf","EMPENHO DEA REF. SERVIÇOS DE SUPORTE EM T.I. - SISTEMA SAJ-MP - SUPORTE DE 1º NÍVEL (SUPORTE N1), CONF. 2° TERMO DE APOSTILAMENTO AO CONTRATO 042/2024 E TERMO DE RECONHECIMENTO "&amp;"DE DÍVIDA 023/2026/SEFIN (FLS. 64 E 68), REF. DIFERENÇA DE REAJUSTE RETROATIVO ÀS COMPETÊNCIAS JUN, JUL, AGO, SET, OUT, NOV E DEZ/2025.           DEA: 26002277.	   NP: 2026NP000138.")</f>
        <v>EMPENHO DEA REF. SERVIÇOS DE SUPORTE EM T.I. - SISTEMA SAJ-MP - SUPORTE DE 1º NÍVEL (SUPORTE N1), CONF. 2° TERMO DE APOSTILAMENTO AO CONTRATO 042/2024 E TERMO DE RECONHECIMENTO DE DÍVIDA 023/2026/SEFIN (FLS. 64 E 68), REF. DIFERENÇA DE REAJUSTE RETROATIVO ÀS COMPETÊNCIAS JUN, JUL, AGO, SET, OUT, NOV E DEZ/2025.           DEA: 26002277.	   NP: 2026NP000138.</v>
      </c>
      <c r="F262" s="2" t="s">
        <v>281</v>
      </c>
      <c r="G262" s="5" t="str">
        <f>HYPERLINK("https://siafe.sefaz.ce.gov.br/Siafe/downloadSignature?token=51ddb96e8cca4463be67ffac46cc8210","2026NE000609")</f>
        <v>2026NE000609</v>
      </c>
      <c r="H262" s="6">
        <v>63764.26</v>
      </c>
      <c r="I262" s="7" t="s">
        <v>70</v>
      </c>
      <c r="J262" s="10" t="s">
        <v>207</v>
      </c>
      <c r="L262" s="13"/>
    </row>
    <row r="263" spans="1:12" ht="89.25" x14ac:dyDescent="0.25">
      <c r="A263" s="12" t="s">
        <v>122</v>
      </c>
      <c r="B263" s="2" t="s">
        <v>206</v>
      </c>
      <c r="C263" s="3" t="str">
        <f>HYPERLINK("https://transparencia-area-fim.mpce.mp.br/#/consulta/processo/pastadigital/092023000255300","09.2023.00025530-0")</f>
        <v>09.2023.00025530-0</v>
      </c>
      <c r="D263" s="4">
        <v>46149</v>
      </c>
      <c r="E263" s="16" t="str">
        <f>HYPERLINK("https://www8.mpce.mp.br/Empenhos/150001/Objeto/42-2024.pdf","EMPENHO DEA REF. SERVIÇOS DE SUPORTE EM T.I. - SISTEMA SAJ-MP - SUPORTE ESTENDIDO, CONF. 2° TERMO DE APOSTILAMENTO AO CONTRATO 042/2024 E TERMO DE RECONHECIMENTO DE DÍVIDA 023/2"&amp;"026/SEFIN (FLS. 64 E 68), REF. DIFERENÇA DE REAJUSTE RETROATIVO ÀS COMPETÊNCIAS JUN, JUL, AGO, SET, OUT, NOV E DEZ/2025.           DEA: 26002277.	   NP: 2026NP000138.")</f>
        <v>EMPENHO DEA REF. SERVIÇOS DE SUPORTE EM T.I. - SISTEMA SAJ-MP - SUPORTE ESTENDIDO, CONF. 2° TERMO DE APOSTILAMENTO AO CONTRATO 042/2024 E TERMO DE RECONHECIMENTO DE DÍVIDA 023/2026/SEFIN (FLS. 64 E 68), REF. DIFERENÇA DE REAJUSTE RETROATIVO ÀS COMPETÊNCIAS JUN, JUL, AGO, SET, OUT, NOV E DEZ/2025.           DEA: 26002277.	   NP: 2026NP000138.</v>
      </c>
      <c r="F263" s="2" t="s">
        <v>281</v>
      </c>
      <c r="G263" s="5" t="str">
        <f>HYPERLINK("https://siafe.sefaz.ce.gov.br/Siafe/downloadSignature?token=e9b01f6124144932b5e77c2ddf5a02cd","2026NE000610")</f>
        <v>2026NE000610</v>
      </c>
      <c r="H263" s="6">
        <v>5138.0600000000004</v>
      </c>
      <c r="I263" s="7" t="s">
        <v>70</v>
      </c>
      <c r="J263" s="10" t="s">
        <v>207</v>
      </c>
      <c r="L263" s="13"/>
    </row>
    <row r="264" spans="1:12" ht="102" x14ac:dyDescent="0.25">
      <c r="A264" s="12" t="s">
        <v>122</v>
      </c>
      <c r="B264" s="2" t="s">
        <v>206</v>
      </c>
      <c r="C264" s="3" t="str">
        <f>HYPERLINK("https://transparencia-area-fim.mpce.mp.br/#/consulta/processo/pastadigital/092023000255300","09.2023.00025530-0")</f>
        <v>09.2023.00025530-0</v>
      </c>
      <c r="D264" s="4">
        <v>46149</v>
      </c>
      <c r="E264" s="16" t="str">
        <f>HYPERLINK("https://www8.mpce.mp.br/Empenhos/150001/Objeto/42-2024.pdf","EMPENHO DEA REF. SERVIÇOS DE SUPORTE EM T.I. - SISTEMA SAJ-MP - ACOMPANHAMENTO DA OPERAÇÃO, CONF. 2° TERMO DE APOSTILAMENTO AO CONTRATO 042/2024 E TERMO DE RECONHECIMENTO DE DÍV"&amp;"IDA 023/2026/SEFIN (FLS. 64 E 68), REF. DIFERENÇA DE REAJUSTE RETROATIVO ÀS COMPETÊNCIAS JUN, JUL, AGO, SET, OUT, NOV E DEZ/2025.           DEA: 26002277.	   NP: 2026NP000138.")</f>
        <v>EMPENHO DEA REF. SERVIÇOS DE SUPORTE EM T.I. - SISTEMA SAJ-MP - ACOMPANHAMENTO DA OPERAÇÃO, CONF. 2° TERMO DE APOSTILAMENTO AO CONTRATO 042/2024 E TERMO DE RECONHECIMENTO DE DÍVIDA 023/2026/SEFIN (FLS. 64 E 68), REF. DIFERENÇA DE REAJUSTE RETROATIVO ÀS COMPETÊNCIAS JUN, JUL, AGO, SET, OUT, NOV E DEZ/2025.           DEA: 26002277.	   NP: 2026NP000138.</v>
      </c>
      <c r="F264" s="2" t="s">
        <v>281</v>
      </c>
      <c r="G264" s="5" t="str">
        <f>HYPERLINK("https://siafe.sefaz.ce.gov.br/Siafe/downloadSignature?token=088b5b68a04b4d6c9d98e26d18d220ce","2026NE000611")</f>
        <v>2026NE000611</v>
      </c>
      <c r="H264" s="6">
        <v>26937.15</v>
      </c>
      <c r="I264" s="7" t="s">
        <v>70</v>
      </c>
      <c r="J264" s="10" t="s">
        <v>207</v>
      </c>
      <c r="L264" s="13"/>
    </row>
    <row r="265" spans="1:12" ht="63.75" x14ac:dyDescent="0.25">
      <c r="A265" s="12" t="s">
        <v>111</v>
      </c>
      <c r="B265" s="2" t="s">
        <v>301</v>
      </c>
      <c r="C265" s="3" t="str">
        <f>HYPERLINK("https://transparencia-area-fim.mpce.mp.br/#/consulta/processo/pastadigital/092026000049826","09.2026.00004982-6")</f>
        <v>09.2026.00004982-6</v>
      </c>
      <c r="D265" s="4">
        <v>46108</v>
      </c>
      <c r="E265" s="16" t="s">
        <v>302</v>
      </c>
      <c r="F265" s="2" t="s">
        <v>303</v>
      </c>
      <c r="G265" s="5" t="str">
        <f>HYPERLINK("https://siafe.sefaz.ce.gov.br/Siafe/downloadSignature?token=3ae8d437a7ad4011aece09bc0cd48875","2026NE000611")</f>
        <v>2026NE000611</v>
      </c>
      <c r="H265" s="6">
        <v>8700</v>
      </c>
      <c r="I265" s="7" t="s">
        <v>304</v>
      </c>
      <c r="J265" s="10" t="s">
        <v>305</v>
      </c>
      <c r="L265" s="13"/>
    </row>
    <row r="266" spans="1:12" ht="89.25" x14ac:dyDescent="0.25">
      <c r="A266" s="12" t="s">
        <v>122</v>
      </c>
      <c r="B266" s="2" t="s">
        <v>206</v>
      </c>
      <c r="C266" s="3" t="str">
        <f>HYPERLINK("https://transparencia-area-fim.mpce.mp.br/#/consulta/processo/pastadigital/092023000255300","09.2023.00025530-0")</f>
        <v>09.2023.00025530-0</v>
      </c>
      <c r="D266" s="4">
        <v>46149</v>
      </c>
      <c r="E266" s="16" t="str">
        <f>HYPERLINK("https://www8.mpce.mp.br/Empenhos/150001/Objeto/42-2024.pdf","EMPENHO REF. SERVIÇOS DE COMPUTAÇÃO EM NUVEM - SISTEMA SAJ-MP - HOSPEDAGEM EM NUVEM, CONF. 2° TERMO DE APOSTILAMENTO AO CONTRATO 042/2024 E TERMO DE RECONHECIMENTO DE DÍVIDA 023"&amp;"/2026/SEFIN (FLS. 64 E 68), REF. DIFERENÇA DE REAJUSTE RETROATIVO ÀS COMPETÊNCIAS JUN, JUL, AGO, SET, OUT, NOV E DEZ/2025.           DEA: 26002279.	   NP: 2026NP000140.")</f>
        <v>EMPENHO REF. SERVIÇOS DE COMPUTAÇÃO EM NUVEM - SISTEMA SAJ-MP - HOSPEDAGEM EM NUVEM, CONF. 2° TERMO DE APOSTILAMENTO AO CONTRATO 042/2024 E TERMO DE RECONHECIMENTO DE DÍVIDA 023/2026/SEFIN (FLS. 64 E 68), REF. DIFERENÇA DE REAJUSTE RETROATIVO ÀS COMPETÊNCIAS JUN, JUL, AGO, SET, OUT, NOV E DEZ/2025.           DEA: 26002279.	   NP: 2026NP000140.</v>
      </c>
      <c r="F266" s="2" t="s">
        <v>281</v>
      </c>
      <c r="G266" s="5" t="str">
        <f>HYPERLINK("https://siafe.sefaz.ce.gov.br/Siafe/downloadSignature?token=070a7f67eb094e09a040ede2f8676bf4","2026NE000612")</f>
        <v>2026NE000612</v>
      </c>
      <c r="H266" s="6">
        <v>38636.370000000003</v>
      </c>
      <c r="I266" s="7" t="s">
        <v>70</v>
      </c>
      <c r="J266" s="10" t="s">
        <v>207</v>
      </c>
      <c r="L266" s="13"/>
    </row>
    <row r="267" spans="1:12" ht="89.25" x14ac:dyDescent="0.25">
      <c r="A267" s="12" t="s">
        <v>122</v>
      </c>
      <c r="B267" s="2" t="s">
        <v>206</v>
      </c>
      <c r="C267" s="3" t="str">
        <f>HYPERLINK("https://transparencia-area-fim.mpce.mp.br/#/consulta/processo/pastadigital/092023000255300","09.2023.00025530-0")</f>
        <v>09.2023.00025530-0</v>
      </c>
      <c r="D267" s="4">
        <v>46149</v>
      </c>
      <c r="E267" s="16" t="str">
        <f>HYPERLINK("https://www8.mpce.mp.br/Empenhos/150001/Objeto/42-2024.pdf","EMPENHO DEA REF. SERVIÇOS DE SUPORTE EM T.I. - SISTEMA SAJ-MP - SERV. SOB DEMANDA, CONF. 2° TERMO DE APOSTILAMENTO AO CONTRATO 042/2024 E TERMO DE RECONHECIMENTO DE DÍVIDA 023/2"&amp;"026/SEFIN (FLS. 64 E 68), REF. DIFERENÇA DE REAJUSTE RETROATIVO ÀS COMPETÊNCIAS JUN, JUL, AGO, SET, OUT, NOV E DEZ/2025.           DEA: 26002277.	   NP: 2026NP000138.")</f>
        <v>EMPENHO DEA REF. SERVIÇOS DE SUPORTE EM T.I. - SISTEMA SAJ-MP - SERV. SOB DEMANDA, CONF. 2° TERMO DE APOSTILAMENTO AO CONTRATO 042/2024 E TERMO DE RECONHECIMENTO DE DÍVIDA 023/2026/SEFIN (FLS. 64 E 68), REF. DIFERENÇA DE REAJUSTE RETROATIVO ÀS COMPETÊNCIAS JUN, JUL, AGO, SET, OUT, NOV E DEZ/2025.           DEA: 26002277.	   NP: 2026NP000138.</v>
      </c>
      <c r="F267" s="2" t="s">
        <v>281</v>
      </c>
      <c r="G267" s="5" t="str">
        <f>HYPERLINK("https://siafe.sefaz.ce.gov.br/Siafe/downloadSignature?token=731ff3b1816742bea3aaa38aca05ead1","2026NE000613")</f>
        <v>2026NE000613</v>
      </c>
      <c r="H267" s="6">
        <v>3089.74</v>
      </c>
      <c r="I267" s="7" t="s">
        <v>70</v>
      </c>
      <c r="J267" s="10" t="s">
        <v>207</v>
      </c>
      <c r="L267" s="13"/>
    </row>
    <row r="268" spans="1:12" ht="38.25" x14ac:dyDescent="0.25">
      <c r="A268" s="12" t="s">
        <v>122</v>
      </c>
      <c r="B268" s="2" t="s">
        <v>146</v>
      </c>
      <c r="C268" s="3" t="str">
        <f>HYPERLINK("https://transparencia-area-fim.mpce.mp.br/#/consulta/processo/pastadigital/092026000042355","09.2026.00004235-5")</f>
        <v>09.2026.00004235-5</v>
      </c>
      <c r="D268" s="4">
        <v>46155</v>
      </c>
      <c r="E268" s="16" t="str">
        <f>HYPERLINK("https://www8.mpce.mp.br/Empenhos/150001/Objeto/10-2026.pdf","EMPENHO REF. SERVIÇO DE SUPORTE TÉCNICO DA SOLUÇÃO GUARDIÃO WEB-BY NGC, CONF. CONTRATO 010/2026, REF. MAIO/2026, POR ESTIMATIVA.")</f>
        <v>EMPENHO REF. SERVIÇO DE SUPORTE TÉCNICO DA SOLUÇÃO GUARDIÃO WEB-BY NGC, CONF. CONTRATO 010/2026, REF. MAIO/2026, POR ESTIMATIVA.</v>
      </c>
      <c r="F268" s="2" t="s">
        <v>252</v>
      </c>
      <c r="G268" s="5" t="str">
        <f>HYPERLINK("https://siafe.sefaz.ce.gov.br/Siafe/downloadSignature?token=ac9ec4d566ed437097bba4d096e8c6b5","2026NE000615")</f>
        <v>2026NE000615</v>
      </c>
      <c r="H268" s="6">
        <v>25243.79</v>
      </c>
      <c r="I268" s="7" t="s">
        <v>57</v>
      </c>
      <c r="J268" s="10" t="s">
        <v>253</v>
      </c>
      <c r="L268" s="13"/>
    </row>
    <row r="269" spans="1:12" ht="38.25" x14ac:dyDescent="0.25">
      <c r="A269" s="12" t="s">
        <v>111</v>
      </c>
      <c r="B269" s="2" t="s">
        <v>159</v>
      </c>
      <c r="C269" s="3" t="str">
        <f>HYPERLINK("https://transparencia-area-fim.mpce.mp.br/#/consulta/processo/pastadigital/092025000302894","09.2025.00030289-4")</f>
        <v>09.2025.00030289-4</v>
      </c>
      <c r="D269" s="4">
        <v>46157</v>
      </c>
      <c r="E269" s="16" t="str">
        <f>HYPERLINK("https://www8.mpce.mp.br/Empenhos/150001/Objeto/49-2025.pdf","	EMPENHO REF. PRESTAÇÃO DE SERVIÇOS PROVIMENTO DE RECURSOS EM NUVEM (URN), REF. ABR/ MAI 2026, CONF. CONTRATO 049/2025.")</f>
        <v xml:space="preserve">	EMPENHO REF. PRESTAÇÃO DE SERVIÇOS PROVIMENTO DE RECURSOS EM NUVEM (URN), REF. ABR/ MAI 2026, CONF. CONTRATO 049/2025.</v>
      </c>
      <c r="F269" s="2" t="s">
        <v>183</v>
      </c>
      <c r="G269" s="5" t="str">
        <f>HYPERLINK("https://siafe.sefaz.ce.gov.br/Siafe/downloadSignature?token=fc017c3b071949feac73a7069e449695","2026NE000644")</f>
        <v>2026NE000644</v>
      </c>
      <c r="H269" s="6">
        <v>76009.14</v>
      </c>
      <c r="I269" s="7" t="s">
        <v>50</v>
      </c>
      <c r="J269" s="10" t="s">
        <v>184</v>
      </c>
      <c r="L269" s="13"/>
    </row>
    <row r="270" spans="1:12" ht="114.75" x14ac:dyDescent="0.25">
      <c r="A270" s="12" t="s">
        <v>111</v>
      </c>
      <c r="B270" s="2" t="s">
        <v>182</v>
      </c>
      <c r="C270" s="3" t="str">
        <f>HYPERLINK("https://transparencia-area-fim.mpce.mp.br/#/consulta/processo/pastadigital/092026000005160","09.2026.00000516-0")</f>
        <v>09.2026.00000516-0</v>
      </c>
      <c r="D270" s="4">
        <v>46118</v>
      </c>
      <c r="E270" s="16" t="s">
        <v>306</v>
      </c>
      <c r="F270" s="2" t="s">
        <v>307</v>
      </c>
      <c r="G270" s="5" t="str">
        <f>HYPERLINK("https://siafe.sefaz.ce.gov.br/Siafe/downloadSignature?token=1720f6a1bc774a32912425c4ad59dd4a","2026NE000678")</f>
        <v>2026NE000678</v>
      </c>
      <c r="H270" s="6">
        <v>5.13</v>
      </c>
      <c r="I270" s="7" t="s">
        <v>272</v>
      </c>
      <c r="J270" s="10" t="s">
        <v>273</v>
      </c>
      <c r="L270" s="13"/>
    </row>
    <row r="271" spans="1:12" ht="51" x14ac:dyDescent="0.25">
      <c r="A271" s="12" t="s">
        <v>122</v>
      </c>
      <c r="B271" s="2" t="s">
        <v>146</v>
      </c>
      <c r="C271" s="3" t="str">
        <f>HYPERLINK("https://transparencia-area-fim.mpce.mp.br/#/consulta/processo/pastadigital/092026000041212","09.2026.00004121-2")</f>
        <v>09.2026.00004121-2</v>
      </c>
      <c r="D271" s="4">
        <v>46118</v>
      </c>
      <c r="E271" s="16" t="s">
        <v>308</v>
      </c>
      <c r="F271" s="2" t="s">
        <v>200</v>
      </c>
      <c r="G271" s="5" t="str">
        <f>HYPERLINK("https://siafe.sefaz.ce.gov.br/Siafe/downloadSignature?token=feaa33a2c0494356b9af4e28e2d7b1cf","2026NE000681")</f>
        <v>2026NE000681</v>
      </c>
      <c r="H271" s="6">
        <v>696832</v>
      </c>
      <c r="I271" s="7" t="s">
        <v>309</v>
      </c>
      <c r="J271" s="10" t="s">
        <v>310</v>
      </c>
      <c r="L271" s="13"/>
    </row>
    <row r="272" spans="1:12" ht="51" x14ac:dyDescent="0.25">
      <c r="A272" s="12" t="s">
        <v>111</v>
      </c>
      <c r="B272" s="2" t="s">
        <v>159</v>
      </c>
      <c r="C272" s="3" t="str">
        <f>HYPERLINK("https://transparencia-area-fim.mpce.mp.br/#/consulta/processo/pastadigital/092025000206082","09.2025.00020608-2")</f>
        <v>09.2025.00020608-2</v>
      </c>
      <c r="D272" s="4">
        <v>46120</v>
      </c>
      <c r="E272" s="16" t="str">
        <f>HYPERLINK("https://www8.mpce.mp.br/Empenhos/150001/Objeto/39-2025.pdf","EMPENHO REF. FORNECIMENTO DE PRODUTOS E DE DIVERSOS SERVIÇOS DOS CORREIOS POR MEIO DOS CANAIS DE ATENDIMENTO DISPONIBILIZADOS, CONF. CONTRATO 039/2025, REF. ABR/2026, POR ESTIMA"&amp;"TIVA.")</f>
        <v>EMPENHO REF. FORNECIMENTO DE PRODUTOS E DE DIVERSOS SERVIÇOS DOS CORREIOS POR MEIO DOS CANAIS DE ATENDIMENTO DISPONIBILIZADOS, CONF. CONTRATO 039/2025, REF. ABR/2026, POR ESTIMATIVA.</v>
      </c>
      <c r="F272" s="2" t="s">
        <v>265</v>
      </c>
      <c r="G272" s="5" t="str">
        <f>HYPERLINK("https://siafe.sefaz.ce.gov.br/Siafe/downloadSignature?token=a35d2ad76b544a42bcd228081642aa15","2026NE000686")</f>
        <v>2026NE000686</v>
      </c>
      <c r="H272" s="6">
        <v>12000</v>
      </c>
      <c r="I272" s="7" t="s">
        <v>49</v>
      </c>
      <c r="J272" s="10" t="s">
        <v>266</v>
      </c>
      <c r="L272" s="13"/>
    </row>
    <row r="273" spans="1:12" ht="63.75" x14ac:dyDescent="0.25">
      <c r="A273" s="12" t="s">
        <v>111</v>
      </c>
      <c r="B273" s="2" t="s">
        <v>159</v>
      </c>
      <c r="C273" s="3" t="str">
        <f>HYPERLINK("https://transparencia-area-fim.mpce.mp.br/#/consulta/processo/pastadigital/092024000242263","09.2024.00024226-3")</f>
        <v>09.2024.00024226-3</v>
      </c>
      <c r="D273" s="4">
        <v>46120</v>
      </c>
      <c r="E273" s="16" t="str">
        <f>HYPERLINK("https://www8.mpce.mp.br/Empenhos/150001/Objeto/77-2024.pdf","SERVIÇOS ESPECIALIZADOS VISANDO A IMPLEMENTAÇÃO DE  SOLUÇÃO DE TI  PLATAFORMA WHATSAPP, INCLUINDO A INSTALAÇÃO, ATUALIZAÇÕES E SUPORTE TÉCNICO, REF. ABR, MAIO E JUN/2026, CONFOR"&amp;"ME CONTRATO 077/2024, POR ESTIMATIVA")</f>
        <v>SERVIÇOS ESPECIALIZADOS VISANDO A IMPLEMENTAÇÃO DE  SOLUÇÃO DE TI  PLATAFORMA WHATSAPP, INCLUINDO A INSTALAÇÃO, ATUALIZAÇÕES E SUPORTE TÉCNICO, REF. ABR, MAIO E JUN/2026, CONFORME CONTRATO 077/2024, POR ESTIMATIVA</v>
      </c>
      <c r="F273" s="2" t="s">
        <v>311</v>
      </c>
      <c r="G273" s="5" t="str">
        <f>HYPERLINK("https://siafe.sefaz.ce.gov.br/Siafe/downloadSignature?token=3b1e2bbbd1434b18aa2bc8d05f28216e","2026NE000687")</f>
        <v>2026NE000687</v>
      </c>
      <c r="H273" s="6">
        <v>11199.69</v>
      </c>
      <c r="I273" s="7" t="s">
        <v>272</v>
      </c>
      <c r="J273" s="10" t="s">
        <v>273</v>
      </c>
      <c r="L273" s="13"/>
    </row>
    <row r="274" spans="1:12" ht="25.5" x14ac:dyDescent="0.25">
      <c r="A274" s="12" t="s">
        <v>111</v>
      </c>
      <c r="B274" s="2" t="s">
        <v>159</v>
      </c>
      <c r="C274" s="3" t="str">
        <f>HYPERLINK("https://transparencia-area-fim.mpce.mp.br/#/consulta/processo/pastadigital/092024000041060","09.2024.00004106-0")</f>
        <v>09.2024.00004106-0</v>
      </c>
      <c r="D274" s="4">
        <v>46120</v>
      </c>
      <c r="E274" s="16" t="str">
        <f>HYPERLINK("https://www8.mpce.mp.br/Empenhos/150001/Objeto/95-2024.pdf","EMPENHO REF. TELEFÔNICA BRASIL SA - VIVO, REF. ABR/ MAI/JUN 2026, POR ESTIMATIVA.")</f>
        <v>EMPENHO REF. TELEFÔNICA BRASIL SA - VIVO, REF. ABR/ MAI/JUN 2026, POR ESTIMATIVA.</v>
      </c>
      <c r="F274" s="2" t="s">
        <v>221</v>
      </c>
      <c r="G274" s="5" t="str">
        <f>HYPERLINK("https://siafe.sefaz.ce.gov.br/Siafe/downloadSignature?token=e8482777e92f4e7b9c046265843a0405","2026NE000694")</f>
        <v>2026NE000694</v>
      </c>
      <c r="H274" s="6">
        <v>6315</v>
      </c>
      <c r="I274" s="7" t="s">
        <v>222</v>
      </c>
      <c r="J274" s="10" t="s">
        <v>223</v>
      </c>
      <c r="L274" s="13"/>
    </row>
    <row r="275" spans="1:12" ht="25.5" x14ac:dyDescent="0.25">
      <c r="A275" s="12" t="s">
        <v>122</v>
      </c>
      <c r="B275" s="2" t="s">
        <v>186</v>
      </c>
      <c r="C275" s="3" t="str">
        <f>HYPERLINK("https://transparencia-area-fim.mpce.mp.br/#/consulta/processo/pastadigital/092026000104858","09.2026.00010485-8")</f>
        <v>09.2026.00010485-8</v>
      </c>
      <c r="D275" s="4">
        <v>46120</v>
      </c>
      <c r="E275" s="16" t="s">
        <v>312</v>
      </c>
      <c r="F275" s="2" t="s">
        <v>188</v>
      </c>
      <c r="G275" s="5" t="str">
        <f>HYPERLINK("https://siafe.sefaz.ce.gov.br/Siafe/downloadSignature?token=ee92431c478d4ab29530f97dbd2241bb","2026NE000709")</f>
        <v>2026NE000709</v>
      </c>
      <c r="H275" s="6">
        <v>117.84</v>
      </c>
      <c r="I275" s="7" t="s">
        <v>73</v>
      </c>
      <c r="J275" s="10" t="s">
        <v>227</v>
      </c>
      <c r="L275" s="13"/>
    </row>
    <row r="276" spans="1:12" ht="30" x14ac:dyDescent="0.25">
      <c r="A276" s="12" t="s">
        <v>122</v>
      </c>
      <c r="B276" s="2" t="s">
        <v>186</v>
      </c>
      <c r="C276" s="3" t="str">
        <f>HYPERLINK("https://transparencia-area-fim.mpce.mp.br/#/consulta/processo/pastadigital/092026000104891","09.2026.00010489-1")</f>
        <v>09.2026.00010489-1</v>
      </c>
      <c r="D276" s="4">
        <v>46120</v>
      </c>
      <c r="E276" s="17" t="s">
        <v>312</v>
      </c>
      <c r="F276" s="2" t="s">
        <v>188</v>
      </c>
      <c r="G276" s="5" t="str">
        <f>HYPERLINK("https://siafe.sefaz.ce.gov.br/Siafe/downloadSignature?token=5df370afdbb541bba12568074034bab1","2026NE000710")</f>
        <v>2026NE000710</v>
      </c>
      <c r="H276" s="6">
        <v>595.16999999999996</v>
      </c>
      <c r="I276" s="7" t="s">
        <v>74</v>
      </c>
      <c r="J276" s="10" t="s">
        <v>226</v>
      </c>
    </row>
    <row r="277" spans="1:12" ht="38.25" x14ac:dyDescent="0.25">
      <c r="A277" s="12" t="s">
        <v>122</v>
      </c>
      <c r="B277" s="2" t="s">
        <v>186</v>
      </c>
      <c r="C277" s="3" t="str">
        <f>HYPERLINK("https://transparencia-area-fim.mpce.mp.br/#/consulta/processo/pastadigital/092026000104936","09.2026.00010493-6")</f>
        <v>09.2026.00010493-6</v>
      </c>
      <c r="D277" s="4">
        <v>46119</v>
      </c>
      <c r="E277" s="17" t="s">
        <v>313</v>
      </c>
      <c r="F277" s="2" t="s">
        <v>188</v>
      </c>
      <c r="G277" s="5" t="str">
        <f>HYPERLINK("https://siafe.sefaz.ce.gov.br/Siafe/downloadSignature?token=d58a5912348b445c8e1a146868d9e4a2","2026NE000711")</f>
        <v>2026NE000711</v>
      </c>
      <c r="H277" s="6">
        <v>600</v>
      </c>
      <c r="I277" s="7" t="s">
        <v>75</v>
      </c>
      <c r="J277" s="10" t="s">
        <v>225</v>
      </c>
      <c r="L277" s="13"/>
    </row>
    <row r="278" spans="1:12" ht="25.5" x14ac:dyDescent="0.25">
      <c r="A278" s="12" t="s">
        <v>122</v>
      </c>
      <c r="B278" s="2" t="s">
        <v>186</v>
      </c>
      <c r="C278" s="3" t="str">
        <f>HYPERLINK("https://transparencia-area-fim.mpce.mp.br/#/consulta/processo/pastadigital/092026000104958","09.2026.00010495-8")</f>
        <v>09.2026.00010495-8</v>
      </c>
      <c r="D278" s="4">
        <v>46119</v>
      </c>
      <c r="E278" s="16" t="s">
        <v>312</v>
      </c>
      <c r="F278" s="2" t="s">
        <v>188</v>
      </c>
      <c r="G278" s="5" t="str">
        <f>HYPERLINK("https://siafe.sefaz.ce.gov.br/Siafe/downloadSignature?token=0ce83ea6d3e64249ba92d33dcb36a5c4","2026NE000712")</f>
        <v>2026NE000712</v>
      </c>
      <c r="H278" s="6">
        <v>74.52</v>
      </c>
      <c r="I278" s="7" t="s">
        <v>78</v>
      </c>
      <c r="J278" s="10" t="s">
        <v>189</v>
      </c>
      <c r="L278" s="13"/>
    </row>
    <row r="279" spans="1:12" ht="30" x14ac:dyDescent="0.25">
      <c r="A279" s="12" t="s">
        <v>122</v>
      </c>
      <c r="B279" s="2" t="s">
        <v>186</v>
      </c>
      <c r="C279" s="3" t="str">
        <f>HYPERLINK("https://transparencia-area-fim.mpce.mp.br/#/consulta/processo/pastadigital/092026000105002","09.2026.00010500-2")</f>
        <v>09.2026.00010500-2</v>
      </c>
      <c r="D279" s="4">
        <v>46119</v>
      </c>
      <c r="E279" s="17" t="s">
        <v>312</v>
      </c>
      <c r="F279" s="2" t="s">
        <v>188</v>
      </c>
      <c r="G279" s="5" t="str">
        <f>HYPERLINK("https://siafe.sefaz.ce.gov.br/Siafe/downloadSignature?token=f9b8d17c1404447f8d5f2922eefb8ab7","2026NE000713")</f>
        <v>2026NE000713</v>
      </c>
      <c r="H279" s="6">
        <v>386.76</v>
      </c>
      <c r="I279" s="7" t="s">
        <v>79</v>
      </c>
      <c r="J279" s="10" t="s">
        <v>190</v>
      </c>
      <c r="L279" s="13"/>
    </row>
    <row r="280" spans="1:12" ht="90" x14ac:dyDescent="0.25">
      <c r="A280" s="12" t="s">
        <v>111</v>
      </c>
      <c r="B280" s="2" t="s">
        <v>269</v>
      </c>
      <c r="C280" s="3" t="str">
        <f>HYPERLINK("https://transparencia-area-fim.mpce.mp.br/#/consulta/processo/pastadigital/092026000153849","09.2026.00015384-9")</f>
        <v>09.2026.00015384-9</v>
      </c>
      <c r="D280" s="4">
        <v>46169</v>
      </c>
      <c r="E280" s="17" t="s">
        <v>323</v>
      </c>
      <c r="F280" s="2" t="s">
        <v>324</v>
      </c>
      <c r="G280" s="5" t="str">
        <f>HYPERLINK("https://siafe.sefaz.ce.gov.br/Siafe/downloadSignature?token=52d36754faa64471bad6396eb1fcbd4a","2026NE000714")</f>
        <v>2026NE000714</v>
      </c>
      <c r="H280" s="6">
        <v>62000</v>
      </c>
      <c r="I280" s="7" t="s">
        <v>325</v>
      </c>
      <c r="J280" s="10" t="s">
        <v>326</v>
      </c>
      <c r="L280" s="13"/>
    </row>
    <row r="281" spans="1:12" ht="25.5" x14ac:dyDescent="0.25">
      <c r="A281" s="12" t="s">
        <v>122</v>
      </c>
      <c r="B281" s="2" t="s">
        <v>186</v>
      </c>
      <c r="C281" s="3" t="str">
        <f>HYPERLINK("https://transparencia-area-fim.mpce.mp.br/#/consulta/processo/pastadigital/092026000105079","09.2026.00010507-9")</f>
        <v>09.2026.00010507-9</v>
      </c>
      <c r="D281" s="4">
        <v>46119</v>
      </c>
      <c r="E281" s="16" t="s">
        <v>312</v>
      </c>
      <c r="F281" s="2" t="s">
        <v>188</v>
      </c>
      <c r="G281" s="5" t="str">
        <f>HYPERLINK("https://siafe.sefaz.ce.gov.br/Siafe/downloadSignature?token=880c041d766d4a72a8a5382bd212e38a","2026NE000714")</f>
        <v>2026NE000714</v>
      </c>
      <c r="H281" s="6">
        <v>278.85000000000002</v>
      </c>
      <c r="I281" s="7" t="s">
        <v>59</v>
      </c>
      <c r="J281" s="10" t="s">
        <v>193</v>
      </c>
      <c r="L281" s="13"/>
    </row>
    <row r="282" spans="1:12" ht="30" x14ac:dyDescent="0.25">
      <c r="A282" s="12" t="s">
        <v>122</v>
      </c>
      <c r="B282" s="2" t="s">
        <v>186</v>
      </c>
      <c r="C282" s="3" t="str">
        <f>HYPERLINK("https://transparencia-area-fim.mpce.mp.br/#/consulta/processo/pastadigital/092026000105113","09.2026.00010511-3")</f>
        <v>09.2026.00010511-3</v>
      </c>
      <c r="D282" s="4">
        <v>46119</v>
      </c>
      <c r="E282" s="17" t="s">
        <v>312</v>
      </c>
      <c r="F282" s="2" t="s">
        <v>188</v>
      </c>
      <c r="G282" s="5" t="str">
        <f>HYPERLINK("https://siafe.sefaz.ce.gov.br/Siafe/downloadSignature?token=f5979198845c46f1bb32914fc6b63cc7","2026NE000715")</f>
        <v>2026NE000715</v>
      </c>
      <c r="H282" s="6">
        <v>81.03</v>
      </c>
      <c r="I282" s="7" t="s">
        <v>195</v>
      </c>
      <c r="J282" s="10" t="s">
        <v>196</v>
      </c>
      <c r="L282" s="13"/>
    </row>
    <row r="283" spans="1:12" ht="25.5" x14ac:dyDescent="0.25">
      <c r="A283" s="12" t="s">
        <v>122</v>
      </c>
      <c r="B283" s="2" t="s">
        <v>186</v>
      </c>
      <c r="C283" s="3" t="str">
        <f>HYPERLINK("https://transparencia-area-fim.mpce.mp.br/#/consulta/processo/pastadigital/092026000105135","09.2026.00010513-5")</f>
        <v>09.2026.00010513-5</v>
      </c>
      <c r="D283" s="4">
        <v>46119</v>
      </c>
      <c r="E283" s="16" t="s">
        <v>314</v>
      </c>
      <c r="F283" s="2" t="s">
        <v>188</v>
      </c>
      <c r="G283" s="5" t="str">
        <f>HYPERLINK("https://siafe.sefaz.ce.gov.br/Siafe/downloadSignature?token=bf1ae7e76f8d4562a92fcf89ce92618d","2026NE000716")</f>
        <v>2026NE000716</v>
      </c>
      <c r="H283" s="6">
        <v>399.96</v>
      </c>
      <c r="I283" s="7" t="s">
        <v>61</v>
      </c>
      <c r="J283" s="10" t="s">
        <v>202</v>
      </c>
      <c r="L283" s="13"/>
    </row>
    <row r="284" spans="1:12" ht="25.5" x14ac:dyDescent="0.25">
      <c r="A284" s="12" t="s">
        <v>122</v>
      </c>
      <c r="B284" s="2" t="s">
        <v>186</v>
      </c>
      <c r="C284" s="3" t="str">
        <f>HYPERLINK("https://transparencia-area-fim.mpce.mp.br/#/consulta/processo/pastadigital/092026000105157","09.2026.00010515-7")</f>
        <v>09.2026.00010515-7</v>
      </c>
      <c r="D284" s="4">
        <v>46119</v>
      </c>
      <c r="E284" s="16" t="s">
        <v>312</v>
      </c>
      <c r="F284" s="2" t="s">
        <v>188</v>
      </c>
      <c r="G284" s="5" t="str">
        <f>HYPERLINK("https://siafe.sefaz.ce.gov.br/Siafe/downloadSignature?token=d4ee884fd1a74041b1ca0f9072c98fc8","2026NE000718")</f>
        <v>2026NE000718</v>
      </c>
      <c r="H284" s="6">
        <v>194.7</v>
      </c>
      <c r="I284" s="7" t="s">
        <v>62</v>
      </c>
      <c r="J284" s="10" t="s">
        <v>208</v>
      </c>
      <c r="L284" s="13"/>
    </row>
    <row r="285" spans="1:12" ht="38.25" x14ac:dyDescent="0.25">
      <c r="A285" s="12" t="s">
        <v>122</v>
      </c>
      <c r="B285" s="2" t="s">
        <v>186</v>
      </c>
      <c r="C285" s="3" t="str">
        <f>HYPERLINK("https://transparencia-area-fim.mpce.mp.br/#/consulta/processo/pastadigital/092026000105179","09.2026.00010517-9")</f>
        <v>09.2026.00010517-9</v>
      </c>
      <c r="D285" s="4">
        <v>46119</v>
      </c>
      <c r="E285" s="16" t="s">
        <v>314</v>
      </c>
      <c r="F285" s="2" t="s">
        <v>188</v>
      </c>
      <c r="G285" s="5" t="str">
        <f>HYPERLINK("https://siafe.sefaz.ce.gov.br/Siafe/downloadSignature?token=b1b607f67fd0483eb6826dc8be3bcb67","2026NE000719")</f>
        <v>2026NE000719</v>
      </c>
      <c r="H285" s="6">
        <v>150</v>
      </c>
      <c r="I285" s="7" t="s">
        <v>64</v>
      </c>
      <c r="J285" s="10" t="s">
        <v>209</v>
      </c>
    </row>
    <row r="286" spans="1:12" ht="25.5" x14ac:dyDescent="0.25">
      <c r="A286" s="12" t="s">
        <v>122</v>
      </c>
      <c r="B286" s="2" t="s">
        <v>186</v>
      </c>
      <c r="C286" s="3" t="str">
        <f>HYPERLINK("https://transparencia-area-fim.mpce.mp.br/#/consulta/processo/pastadigital/092026000105213","09.2026.00010521-3")</f>
        <v>09.2026.00010521-3</v>
      </c>
      <c r="D286" s="4">
        <v>46119</v>
      </c>
      <c r="E286" s="16" t="s">
        <v>312</v>
      </c>
      <c r="F286" s="2" t="s">
        <v>188</v>
      </c>
      <c r="G286" s="5" t="str">
        <f>HYPERLINK("https://siafe.sefaz.ce.gov.br/Siafe/downloadSignature?token=c38075c990294eeba0f166ae9713ea20","2026NE000720")</f>
        <v>2026NE000720</v>
      </c>
      <c r="H286" s="6">
        <v>141.69</v>
      </c>
      <c r="I286" s="7" t="s">
        <v>65</v>
      </c>
      <c r="J286" s="10" t="s">
        <v>210</v>
      </c>
      <c r="L286" s="13"/>
    </row>
    <row r="287" spans="1:12" ht="38.25" x14ac:dyDescent="0.25">
      <c r="A287" s="12" t="s">
        <v>122</v>
      </c>
      <c r="B287" s="2" t="s">
        <v>186</v>
      </c>
      <c r="C287" s="3" t="str">
        <f>HYPERLINK("https://transparencia-area-fim.mpce.mp.br/#/consulta/processo/pastadigital/092026000105246","09.2026.00010524-6")</f>
        <v>09.2026.00010524-6</v>
      </c>
      <c r="D287" s="4">
        <v>46119</v>
      </c>
      <c r="E287" s="16" t="s">
        <v>312</v>
      </c>
      <c r="F287" s="2" t="s">
        <v>188</v>
      </c>
      <c r="G287" s="5" t="str">
        <f>HYPERLINK("https://siafe.sefaz.ce.gov.br/Siafe/downloadSignature?token=9ae50ba94e9d40058b3963638cbf34ae","2026NE000721")</f>
        <v>2026NE000721</v>
      </c>
      <c r="H287" s="6">
        <v>453.06</v>
      </c>
      <c r="I287" s="7" t="s">
        <v>66</v>
      </c>
      <c r="J287" s="10" t="s">
        <v>211</v>
      </c>
      <c r="L287" s="13"/>
    </row>
    <row r="288" spans="1:12" ht="25.5" x14ac:dyDescent="0.25">
      <c r="A288" s="12" t="s">
        <v>122</v>
      </c>
      <c r="B288" s="2" t="s">
        <v>186</v>
      </c>
      <c r="C288" s="3" t="str">
        <f>HYPERLINK("https://transparencia-area-fim.mpce.mp.br/#/consulta/processo/pastadigital/092026000105268","09.2026.00010526-8")</f>
        <v>09.2026.00010526-8</v>
      </c>
      <c r="D288" s="4">
        <v>46119</v>
      </c>
      <c r="E288" s="16" t="s">
        <v>312</v>
      </c>
      <c r="F288" s="2" t="s">
        <v>188</v>
      </c>
      <c r="G288" s="5" t="str">
        <f>HYPERLINK("https://siafe.sefaz.ce.gov.br/Siafe/downloadSignature?token=ad5b6e929c114ef38c18556e9b165ff7","2026NE000722")</f>
        <v>2026NE000722</v>
      </c>
      <c r="H288" s="6">
        <v>600</v>
      </c>
      <c r="I288" s="7" t="s">
        <v>67</v>
      </c>
      <c r="J288" s="10" t="s">
        <v>212</v>
      </c>
      <c r="L288" s="13"/>
    </row>
    <row r="289" spans="1:12" ht="25.5" x14ac:dyDescent="0.25">
      <c r="A289" s="12" t="s">
        <v>122</v>
      </c>
      <c r="B289" s="2" t="s">
        <v>186</v>
      </c>
      <c r="C289" s="3" t="str">
        <f>HYPERLINK("https://transparencia-area-fim.mpce.mp.br/#/consulta/processo/pastadigital/092026000105279","09.2026.00010527-9")</f>
        <v>09.2026.00010527-9</v>
      </c>
      <c r="D289" s="4">
        <v>46119</v>
      </c>
      <c r="E289" s="16" t="s">
        <v>312</v>
      </c>
      <c r="F289" s="2" t="s">
        <v>188</v>
      </c>
      <c r="G289" s="5" t="str">
        <f>HYPERLINK("https://siafe.sefaz.ce.gov.br/Siafe/downloadSignature?token=8b98248549f243ad95868966d3caa411","2026NE000723")</f>
        <v>2026NE000723</v>
      </c>
      <c r="H289" s="6">
        <v>594.17999999999995</v>
      </c>
      <c r="I289" s="7" t="s">
        <v>213</v>
      </c>
      <c r="J289" s="10" t="s">
        <v>214</v>
      </c>
      <c r="L289" s="13"/>
    </row>
    <row r="290" spans="1:12" ht="38.25" x14ac:dyDescent="0.25">
      <c r="A290" s="12" t="s">
        <v>122</v>
      </c>
      <c r="B290" s="2" t="s">
        <v>186</v>
      </c>
      <c r="C290" s="3" t="str">
        <f>HYPERLINK("https://transparencia-area-fim.mpce.mp.br/#/consulta/processo/pastadigital/092026000105280","09.2026.00010528-0")</f>
        <v>09.2026.00010528-0</v>
      </c>
      <c r="D290" s="4">
        <v>46119</v>
      </c>
      <c r="E290" s="16" t="s">
        <v>312</v>
      </c>
      <c r="F290" s="2" t="s">
        <v>188</v>
      </c>
      <c r="G290" s="5" t="str">
        <f>HYPERLINK("https://siafe.sefaz.ce.gov.br/Siafe/downloadSignature?token=0e65d2e234f34e66895833a5071ec31e","2026NE000728")</f>
        <v>2026NE000728</v>
      </c>
      <c r="H290" s="6">
        <v>636</v>
      </c>
      <c r="I290" s="7" t="s">
        <v>77</v>
      </c>
      <c r="J290" s="10" t="s">
        <v>215</v>
      </c>
    </row>
    <row r="291" spans="1:12" ht="25.5" x14ac:dyDescent="0.25">
      <c r="A291" s="12" t="s">
        <v>122</v>
      </c>
      <c r="B291" s="2" t="s">
        <v>186</v>
      </c>
      <c r="C291" s="3" t="str">
        <f>HYPERLINK("https://transparencia-area-fim.mpce.mp.br/#/consulta/processo/pastadigital/092026000105324","09.2026.00010532-4")</f>
        <v>09.2026.00010532-4</v>
      </c>
      <c r="D291" s="4">
        <v>46119</v>
      </c>
      <c r="E291" s="16" t="s">
        <v>312</v>
      </c>
      <c r="F291" s="2" t="s">
        <v>188</v>
      </c>
      <c r="G291" s="5" t="str">
        <f>HYPERLINK("https://siafe.sefaz.ce.gov.br/Siafe/downloadSignature?token=cd4354eed65e4aa8926fd1e59f8716b0","2026NE000729")</f>
        <v>2026NE000729</v>
      </c>
      <c r="H291" s="6">
        <v>433.62</v>
      </c>
      <c r="I291" s="7" t="s">
        <v>71</v>
      </c>
      <c r="J291" s="10" t="s">
        <v>218</v>
      </c>
      <c r="L291" s="13"/>
    </row>
    <row r="292" spans="1:12" ht="51" x14ac:dyDescent="0.25">
      <c r="A292" s="12" t="s">
        <v>122</v>
      </c>
      <c r="B292" s="2" t="s">
        <v>146</v>
      </c>
      <c r="C292" s="3" t="str">
        <f>HYPERLINK("https://transparencia-area-fim.mpce.mp.br/#/consulta/processo/pastadigital/092023000396910","09.2023.00039691-0")</f>
        <v>09.2023.00039691-0</v>
      </c>
      <c r="D292" s="4">
        <v>46120</v>
      </c>
      <c r="E292" s="16" t="str">
        <f>HYPERLINK("https://www8.mpce.mp.br/Empenhos/150001/Objeto/19-2024.pdf","FORNECIMENTO DE 700 (SETECENTOS) LICENÇAS DE ACESSO A PLATAFORMA ON LINE DE CURSOS DE APERFEIÇOAMENTO E TREINAMENTO ESPECIALIZADO CONFORME CONTRATO 019/2024.")</f>
        <v>FORNECIMENTO DE 700 (SETECENTOS) LICENÇAS DE ACESSO A PLATAFORMA ON LINE DE CURSOS DE APERFEIÇOAMENTO E TREINAMENTO ESPECIALIZADO CONFORME CONTRATO 019/2024.</v>
      </c>
      <c r="F292" s="2" t="s">
        <v>200</v>
      </c>
      <c r="G292" s="5" t="str">
        <f>HYPERLINK("https://siafe.sefaz.ce.gov.br/Siafe/downloadSignature?token=c8cbfef2b58544c68226c58469a32df0","2026NE000735")</f>
        <v>2026NE000735</v>
      </c>
      <c r="H292" s="6">
        <v>696832</v>
      </c>
      <c r="I292" s="7" t="s">
        <v>309</v>
      </c>
      <c r="J292" s="10" t="s">
        <v>310</v>
      </c>
    </row>
    <row r="293" spans="1:12" ht="114.75" x14ac:dyDescent="0.25">
      <c r="A293" s="12" t="s">
        <v>111</v>
      </c>
      <c r="B293" s="2" t="s">
        <v>338</v>
      </c>
      <c r="C293" s="3" t="str">
        <f>HYPERLINK("https://transparencia-area-fim.mpce.mp.br/#/consulta/processo/pastadigital/092026000172646","09.2026.00017264-6")</f>
        <v>09.2026.00017264-6</v>
      </c>
      <c r="D293" s="4">
        <v>46174</v>
      </c>
      <c r="E293" s="16" t="s">
        <v>339</v>
      </c>
      <c r="F293" s="2" t="s">
        <v>244</v>
      </c>
      <c r="G293" s="5" t="str">
        <f>HYPERLINK("https://siafe.sefaz.ce.gov.br/Siafe/downloadSignature?token=cb313b1155e94a0f9eb795a766d8547b","2026NE000744")</f>
        <v>2026NE000744</v>
      </c>
      <c r="H293" s="6">
        <v>10450</v>
      </c>
      <c r="I293" s="7" t="s">
        <v>340</v>
      </c>
      <c r="J293" s="10" t="s">
        <v>341</v>
      </c>
      <c r="L293" s="13"/>
    </row>
    <row r="294" spans="1:12" ht="63.75" x14ac:dyDescent="0.25">
      <c r="A294" s="12" t="s">
        <v>122</v>
      </c>
      <c r="B294" s="2" t="s">
        <v>206</v>
      </c>
      <c r="C294" s="3" t="str">
        <f>HYPERLINK("https://transparencia-area-fim.mpce.mp.br/#/consulta/processo/pastadigital/092023000255300","09.2023.00025530-0")</f>
        <v>09.2023.00025530-0</v>
      </c>
      <c r="D294" s="4">
        <v>46196</v>
      </c>
      <c r="E294" s="16" t="str">
        <f>HYPERLINK("https://www8.mpce.mp.br/Empenhos/150001/Objeto/42-2024.pdf","EMPENHO EFERENTE AOS MESES DE JANEIRO A MARÇO DE 2026. AS REFERIDAS DIFERENÇAS DECORREM DO REAJUSTE CONTRATUAL DE 5,3198%, FORMALIZADO POR MEIO DO 2º TERMO DE APOSTILAMENTO AO C"&amp;"ONTRATO Nº 042/2024/PG")</f>
        <v>EMPENHO EFERENTE AOS MESES DE JANEIRO A MARÇO DE 2026. AS REFERIDAS DIFERENÇAS DECORREM DO REAJUSTE CONTRATUAL DE 5,3198%, FORMALIZADO POR MEIO DO 2º TERMO DE APOSTILAMENTO AO CONTRATO Nº 042/2024/PG</v>
      </c>
      <c r="F294" s="2" t="s">
        <v>257</v>
      </c>
      <c r="G294" s="5" t="str">
        <f>HYPERLINK("https://siafe.sefaz.ce.gov.br/Siafe/downloadSignature?token=c478a6041c724c0080b8f0afa5cd3e92","2026NE000749")</f>
        <v>2026NE000749</v>
      </c>
      <c r="H294" s="6">
        <v>93805.9</v>
      </c>
      <c r="I294" s="7" t="s">
        <v>70</v>
      </c>
      <c r="J294" s="10" t="s">
        <v>207</v>
      </c>
      <c r="L294" s="13"/>
    </row>
    <row r="295" spans="1:12" ht="38.25" x14ac:dyDescent="0.25">
      <c r="A295" s="12" t="s">
        <v>111</v>
      </c>
      <c r="B295" s="2" t="s">
        <v>159</v>
      </c>
      <c r="C295" s="3" t="str">
        <f>HYPERLINK("https://transparencia-area-fim.mpce.mp.br/#/consulta/processo/pastadigital/092024000176845","09.2024.00017684-5")</f>
        <v>09.2024.00017684-5</v>
      </c>
      <c r="D295" s="4">
        <v>46176</v>
      </c>
      <c r="E295" s="16" t="str">
        <f>HYPERLINK("https://www8.mpce.mp.br/Empenhos/150001/Objeto/58-2024.pdf","COMPLEMENTAÇÃO , CONFORME SOLICITAÇÃO DO GESTOR, PARA CONTEMPLAR MAIO/2026, POR ESTIMATIVA.")</f>
        <v>COMPLEMENTAÇÃO , CONFORME SOLICITAÇÃO DO GESTOR, PARA CONTEMPLAR MAIO/2026, POR ESTIMATIVA.</v>
      </c>
      <c r="F295" s="2" t="s">
        <v>183</v>
      </c>
      <c r="G295" s="5" t="str">
        <f>HYPERLINK("https://siafe.sefaz.ce.gov.br/Siafe/downloadSignature?token=ea7c0d683fdd4c3982ce3a001f3cab81","2026NE000752")</f>
        <v>2026NE000752</v>
      </c>
      <c r="H295" s="6">
        <v>129258.54</v>
      </c>
      <c r="I295" s="7" t="s">
        <v>50</v>
      </c>
      <c r="J295" s="10" t="s">
        <v>184</v>
      </c>
      <c r="L295" s="13"/>
    </row>
    <row r="296" spans="1:12" ht="51" x14ac:dyDescent="0.25">
      <c r="A296" s="12" t="s">
        <v>122</v>
      </c>
      <c r="B296" s="2" t="s">
        <v>146</v>
      </c>
      <c r="C296" s="3" t="str">
        <f>HYPERLINK("https://transparencia-area-fim.mpce.mp.br/#/consulta/processo/pastadigital/092024000189230","09.2024.00018923-0")</f>
        <v>09.2024.00018923-0</v>
      </c>
      <c r="D296" s="4">
        <v>46122</v>
      </c>
      <c r="E296" s="16" t="str">
        <f>HYPERLINK("https://www8.mpce.mp.br/Empenhos/150001/Objeto/99-2024.pdf","EMPENHO REF. SERVIÇO DE FORNECIMENTO DE ENERGIA ELÉTRICA, EM ALTA TENSÃO, POR INEXIGIBILIDADE DE LICITAÇÃO, CONF. CONTRATO 099/2024, REF. ABR/2026, POR ESTIMATIVA.")</f>
        <v>EMPENHO REF. SERVIÇO DE FORNECIMENTO DE ENERGIA ELÉTRICA, EM ALTA TENSÃO, POR INEXIGIBILIDADE DE LICITAÇÃO, CONF. CONTRATO 099/2024, REF. ABR/2026, POR ESTIMATIVA.</v>
      </c>
      <c r="F296" s="2" t="s">
        <v>228</v>
      </c>
      <c r="G296" s="5" t="str">
        <f>HYPERLINK("https://siafe.sefaz.ce.gov.br/Siafe/downloadSignature?token=9849428cae80490e912ae79cc3a3f2b3","2026NE000752")</f>
        <v>2026NE000752</v>
      </c>
      <c r="H296" s="6">
        <v>15000</v>
      </c>
      <c r="I296" s="7" t="s">
        <v>229</v>
      </c>
      <c r="J296" s="10" t="s">
        <v>230</v>
      </c>
      <c r="L296" s="13"/>
    </row>
    <row r="297" spans="1:12" ht="51" x14ac:dyDescent="0.25">
      <c r="A297" s="12" t="s">
        <v>122</v>
      </c>
      <c r="B297" s="2" t="s">
        <v>146</v>
      </c>
      <c r="C297" s="3" t="str">
        <f>HYPERLINK("https://transparencia-area-fim.mpce.mp.br/#/consulta/processo/pastadigital/092024000189230","09.2024.00018923-0")</f>
        <v>09.2024.00018923-0</v>
      </c>
      <c r="D297" s="4">
        <v>46122</v>
      </c>
      <c r="E297" s="16" t="str">
        <f>HYPERLINK("https://www8.mpce.mp.br/Empenhos/150001/Objeto/98-2024.pdf","EMPENHO REF. SERVIÇO DE FORNECIMENTO DE ENERGIA ELÉTRICA, EM ALTA TENSÃO A4 HORO-SAZONAL VERDE, POR INEXIGIBILIDADE DE LICITAÇÃO, CONF.  CONTRATO 098/2024, REF. ABR/2026, POR ES"&amp;"TIMATIVA")</f>
        <v>EMPENHO REF. SERVIÇO DE FORNECIMENTO DE ENERGIA ELÉTRICA, EM ALTA TENSÃO A4 HORO-SAZONAL VERDE, POR INEXIGIBILIDADE DE LICITAÇÃO, CONF.  CONTRATO 098/2024, REF. ABR/2026, POR ESTIMATIVA</v>
      </c>
      <c r="F297" s="2" t="s">
        <v>228</v>
      </c>
      <c r="G297" s="5" t="str">
        <f>HYPERLINK("https://siafe.sefaz.ce.gov.br/Siafe/downloadSignature?token=6206c4c3433244d1aca997c7f934092d","2026NE000753")</f>
        <v>2026NE000753</v>
      </c>
      <c r="H297" s="6">
        <v>150000</v>
      </c>
      <c r="I297" s="7" t="s">
        <v>229</v>
      </c>
      <c r="J297" s="10" t="s">
        <v>230</v>
      </c>
      <c r="L297" s="13"/>
    </row>
    <row r="298" spans="1:12" ht="38.25" x14ac:dyDescent="0.25">
      <c r="A298" s="12" t="s">
        <v>111</v>
      </c>
      <c r="B298" s="2" t="s">
        <v>159</v>
      </c>
      <c r="C298" s="3" t="str">
        <f>HYPERLINK("https://transparencia-area-fim.mpce.mp.br/#/consulta/processo/pastadigital/092026000019787","09.2026.00001978-7")</f>
        <v>09.2026.00001978-7</v>
      </c>
      <c r="D298" s="4">
        <v>46182</v>
      </c>
      <c r="E298" s="16" t="str">
        <f>HYPERLINK("https://www8.mpce.mp.br/Empenhos/150001/Objeto/02-2026.pdf","PRESTAÇÃO DE SERVIÇOS DE LINKS DE DADOS REFERENTE MAIO/JUNH 2026 CONFORME CONTRATO 002/2026.")</f>
        <v>PRESTAÇÃO DE SERVIÇOS DE LINKS DE DADOS REFERENTE MAIO/JUNH 2026 CONFORME CONTRATO 002/2026.</v>
      </c>
      <c r="F298" s="2" t="s">
        <v>279</v>
      </c>
      <c r="G298" s="5" t="str">
        <f>HYPERLINK("https://siafe.sefaz.ce.gov.br/Siafe/downloadSignature?token=8210cc51ab2745ddb83eb1996bac4e35","2026NE000753")</f>
        <v>2026NE000753</v>
      </c>
      <c r="H298" s="6">
        <v>35474.300000000003</v>
      </c>
      <c r="I298" s="7" t="s">
        <v>50</v>
      </c>
      <c r="J298" s="10" t="s">
        <v>184</v>
      </c>
      <c r="L298" s="13"/>
    </row>
    <row r="299" spans="1:12" ht="38.25" x14ac:dyDescent="0.25">
      <c r="A299" s="12" t="s">
        <v>122</v>
      </c>
      <c r="B299" s="2" t="s">
        <v>146</v>
      </c>
      <c r="C299" s="3" t="str">
        <f>HYPERLINK("https://transparencia-area-fim.mpce.mp.br/#/consulta/processo/pastadigital/092026000105480","09.2026.00010548-0")</f>
        <v>09.2026.00010548-0</v>
      </c>
      <c r="D299" s="4">
        <v>46122</v>
      </c>
      <c r="E299" s="16" t="s">
        <v>315</v>
      </c>
      <c r="F299" s="2" t="s">
        <v>232</v>
      </c>
      <c r="G299" s="5" t="str">
        <f>HYPERLINK("https://siafe.sefaz.ce.gov.br/Siafe/downloadSignature?token=704eb01d045740eb8bbcd4ee6ac92cb8","2026NE000754")</f>
        <v>2026NE000754</v>
      </c>
      <c r="H299" s="6">
        <v>300</v>
      </c>
      <c r="I299" s="7" t="s">
        <v>233</v>
      </c>
      <c r="J299" s="10" t="s">
        <v>234</v>
      </c>
      <c r="L299" s="13"/>
    </row>
    <row r="300" spans="1:12" ht="25.5" x14ac:dyDescent="0.25">
      <c r="A300" s="12" t="s">
        <v>122</v>
      </c>
      <c r="B300" s="2" t="s">
        <v>186</v>
      </c>
      <c r="C300" s="3" t="str">
        <f>HYPERLINK("https://transparencia-area-fim.mpce.mp.br/#/consulta/processo/pastadigital/092026000105302","09.2026.00010530-2")</f>
        <v>09.2026.00010530-2</v>
      </c>
      <c r="D300" s="4">
        <v>46122</v>
      </c>
      <c r="E300" s="16" t="s">
        <v>316</v>
      </c>
      <c r="F300" s="2" t="s">
        <v>188</v>
      </c>
      <c r="G300" s="5" t="str">
        <f>HYPERLINK("https://siafe.sefaz.ce.gov.br/Siafe/downloadSignature?token=43a6a01099bd439f9f8e47032891e695","2026NE000755")</f>
        <v>2026NE000755</v>
      </c>
      <c r="H300" s="6">
        <v>6000</v>
      </c>
      <c r="I300" s="7" t="s">
        <v>68</v>
      </c>
      <c r="J300" s="10" t="s">
        <v>217</v>
      </c>
      <c r="L300" s="13"/>
    </row>
    <row r="301" spans="1:12" ht="51" x14ac:dyDescent="0.25">
      <c r="A301" s="12" t="s">
        <v>111</v>
      </c>
      <c r="B301" s="2" t="s">
        <v>151</v>
      </c>
      <c r="C301" s="3" t="str">
        <f>HYPERLINK("https://transparencia-area-fim.mpce.mp.br/#/consulta/processo/pastadigital/092022000343829","09.2022.00034382-9")</f>
        <v>09.2022.00034382-9</v>
      </c>
      <c r="D301" s="4">
        <v>46185</v>
      </c>
      <c r="E301" s="16" t="str">
        <f>HYPERLINK("https://www8.mpce.mp.br/Empenhos/150001/Objeto/10-2023.pdf","EMPENHO REF. AO ALUGUEL DO IMÓVEL ONDE FUNCIONAM AS PROMOTORIAS DE JUSTIÇA DA COMARCA DE ITAPAJÉ, CONFORME CONTRATO 010/2023, RELATIVO AOS MESES DE MAIO E JUN/2026, POR ESTIMATIVA.")</f>
        <v>EMPENHO REF. AO ALUGUEL DO IMÓVEL ONDE FUNCIONAM AS PROMOTORIAS DE JUSTIÇA DA COMARCA DE ITAPAJÉ, CONFORME CONTRATO 010/2023, RELATIVO AOS MESES DE MAIO E JUN/2026, POR ESTIMATIVA.</v>
      </c>
      <c r="F301" s="2" t="s">
        <v>121</v>
      </c>
      <c r="G301" s="5" t="str">
        <f>HYPERLINK("https://siafe.sefaz.ce.gov.br/Siafe/downloadSignature?token=1e45f479c63f4031bbcd692f1a9f05ba","2026NE000778")</f>
        <v>2026NE000778</v>
      </c>
      <c r="H301" s="6">
        <v>28519.279999999999</v>
      </c>
      <c r="I301" s="7" t="s">
        <v>169</v>
      </c>
      <c r="J301" s="10" t="s">
        <v>170</v>
      </c>
      <c r="L301" s="13"/>
    </row>
    <row r="302" spans="1:12" ht="51" x14ac:dyDescent="0.25">
      <c r="A302" s="12" t="s">
        <v>111</v>
      </c>
      <c r="B302" s="2" t="s">
        <v>115</v>
      </c>
      <c r="C302" s="3" t="str">
        <f>HYPERLINK("https://transparencia-area-fim.mpce.mp.br/#/consulta/processo/pastadigital/092022000343751","09.2022.00034375-1")</f>
        <v>09.2022.00034375-1</v>
      </c>
      <c r="D302" s="4">
        <v>46188</v>
      </c>
      <c r="E302" s="16" t="str">
        <f>HYPERLINK("https://www8.mpce.mp.br/Empenhos/150001/Objeto/08-2023.pdf","EMPENHO REF. ALUGUEL DE IMÓVEL ONDE FUNCIONAM PROMOTORIAS DE JUSTIÇA DA COMARCA DE QUIXERAMOBIM, CONF. CONTRATO 008/2023, REF. MAIO E JUN/2026, POR ESTIMATIVA.")</f>
        <v>EMPENHO REF. ALUGUEL DE IMÓVEL ONDE FUNCIONAM PROMOTORIAS DE JUSTIÇA DA COMARCA DE QUIXERAMOBIM, CONF. CONTRATO 008/2023, REF. MAIO E JUN/2026, POR ESTIMATIVA.</v>
      </c>
      <c r="F302" s="2" t="s">
        <v>121</v>
      </c>
      <c r="G302" s="5" t="str">
        <f>HYPERLINK("https://siafe.sefaz.ce.gov.br/Siafe/downloadSignature?token=65fea96e144c4076b5d719a3301b43e2","2026NE000779")</f>
        <v>2026NE000779</v>
      </c>
      <c r="H302" s="6">
        <v>29552</v>
      </c>
      <c r="I302" s="7" t="s">
        <v>138</v>
      </c>
      <c r="J302" s="10" t="s">
        <v>139</v>
      </c>
      <c r="L302" s="13"/>
    </row>
    <row r="303" spans="1:12" ht="38.25" x14ac:dyDescent="0.25">
      <c r="A303" s="12" t="s">
        <v>122</v>
      </c>
      <c r="B303" s="2" t="s">
        <v>186</v>
      </c>
      <c r="C303" s="3" t="str">
        <f>HYPERLINK("https://transparencia-area-fim.mpce.mp.br/#/consulta/processo/pastadigital/092026000105335","09.2026.00010533-5")</f>
        <v>09.2026.00010533-5</v>
      </c>
      <c r="D303" s="4">
        <v>46126</v>
      </c>
      <c r="E303" s="16" t="s">
        <v>317</v>
      </c>
      <c r="F303" s="2" t="s">
        <v>188</v>
      </c>
      <c r="G303" s="5" t="str">
        <f>HYPERLINK("https://siafe.sefaz.ce.gov.br/Siafe/downloadSignature?token=d12f254e74164744a6db4b08d0b5fffe","2026NE000786")</f>
        <v>2026NE000786</v>
      </c>
      <c r="H303" s="6">
        <v>50000</v>
      </c>
      <c r="I303" s="7" t="s">
        <v>72</v>
      </c>
      <c r="J303" s="10" t="s">
        <v>220</v>
      </c>
      <c r="L303" s="13"/>
    </row>
    <row r="304" spans="1:12" ht="60" x14ac:dyDescent="0.25">
      <c r="A304" s="12" t="s">
        <v>111</v>
      </c>
      <c r="B304" s="2" t="s">
        <v>151</v>
      </c>
      <c r="C304" s="3" t="str">
        <f>HYPERLINK("https://transparencia-area-fim.mpce.mp.br/#/consulta/processo/pastadigital/092023000338552","09.2023.00033855-2")</f>
        <v>09.2023.00033855-2</v>
      </c>
      <c r="D304" s="4">
        <v>46189</v>
      </c>
      <c r="E304" s="17" t="str">
        <f>HYPERLINK("https://www8.mpce.mp.br/Empenhos/150001/Objeto/17-2024.pdf","EMPENHO REF. ALUGUEL DE IMÓVEL ONDE FUNCIONAM PROMOTORIAS DE JUSTIÇA DA COMARCA DE MARANGUAPE, CONF. CONTRATO 017/2024, REF. MAIO E JUN/2026, POR ESTIMATIVA.")</f>
        <v>EMPENHO REF. ALUGUEL DE IMÓVEL ONDE FUNCIONAM PROMOTORIAS DE JUSTIÇA DA COMARCA DE MARANGUAPE, CONF. CONTRATO 017/2024, REF. MAIO E JUN/2026, POR ESTIMATIVA.</v>
      </c>
      <c r="F304" s="2" t="s">
        <v>121</v>
      </c>
      <c r="G304" s="5" t="str">
        <f>HYPERLINK("https://siafe.sefaz.ce.gov.br/Siafe/downloadSignature?token=50dec72665364fbc890ac5d25db386eb","2026NE000788")</f>
        <v>2026NE000788</v>
      </c>
      <c r="H304" s="6">
        <v>36000</v>
      </c>
      <c r="I304" s="7" t="s">
        <v>175</v>
      </c>
      <c r="J304" s="10" t="s">
        <v>176</v>
      </c>
      <c r="L304" s="13"/>
    </row>
    <row r="305" spans="1:12" ht="51" x14ac:dyDescent="0.25">
      <c r="A305" s="12" t="s">
        <v>111</v>
      </c>
      <c r="B305" s="2" t="s">
        <v>115</v>
      </c>
      <c r="C305" s="3" t="str">
        <f>HYPERLINK("https://transparencia-area-fim.mpce.mp.br/#/consulta/processo/pastadigital/092023000338563","09.2023.00033856-3")</f>
        <v>09.2023.00033856-3</v>
      </c>
      <c r="D305" s="4">
        <v>46191</v>
      </c>
      <c r="E305" s="16" t="str">
        <f>HYPERLINK("https://www8.mpce.mp.br/Empenhos/150001/Objeto/01-2024.pdf","EMPENHO REF. IPTU DE IMÓVEL ONDE FUNCIONAM PROMOTORIAS DE JUSTIÇA DA COMARCA DE AQUIRAZ, CONF. CONTRATO 001/2024, REF. IPTU/2026, POR ESTIMATIVA.")</f>
        <v>EMPENHO REF. IPTU DE IMÓVEL ONDE FUNCIONAM PROMOTORIAS DE JUSTIÇA DA COMARCA DE AQUIRAZ, CONF. CONTRATO 001/2024, REF. IPTU/2026, POR ESTIMATIVA.</v>
      </c>
      <c r="F305" s="2" t="s">
        <v>289</v>
      </c>
      <c r="G305" s="5" t="str">
        <f>HYPERLINK("https://siafe.sefaz.ce.gov.br/Siafe/downloadSignature?token=f21ddcb9d039494e9ee53b339e57983a","2026NE000791")</f>
        <v>2026NE000791</v>
      </c>
      <c r="H305" s="6">
        <v>5284.35</v>
      </c>
      <c r="I305" s="7" t="s">
        <v>27</v>
      </c>
      <c r="J305" s="10" t="s">
        <v>134</v>
      </c>
      <c r="L305" s="13"/>
    </row>
    <row r="306" spans="1:12" ht="38.25" x14ac:dyDescent="0.25">
      <c r="A306" s="12" t="s">
        <v>111</v>
      </c>
      <c r="B306" s="2" t="s">
        <v>191</v>
      </c>
      <c r="C306" s="3" t="str">
        <f>HYPERLINK("http://www8.mpce.mp.br/Dispensa/2004820193.pdf","20048/2019-3")</f>
        <v>20048/2019-3</v>
      </c>
      <c r="D306" s="4">
        <v>46191</v>
      </c>
      <c r="E306" s="16" t="str">
        <f>HYPERLINK("https://www8.mpce.mp.br/Empenhos/150001/Objeto/84-2019.pdf","EMPENHO REF. IPTU DE IMÓVEL PROMOTORIAS DE JUSTIÇA DA COMARCA DE MOMBAÇA, CONF. CONTRATO Nº 084/2019, REF. IPTU/2026, POR ESTIMATIVA.")</f>
        <v>EMPENHO REF. IPTU DE IMÓVEL PROMOTORIAS DE JUSTIÇA DA COMARCA DE MOMBAÇA, CONF. CONTRATO Nº 084/2019, REF. IPTU/2026, POR ESTIMATIVA.</v>
      </c>
      <c r="F306" s="2" t="s">
        <v>342</v>
      </c>
      <c r="G306" s="5" t="str">
        <f>HYPERLINK("https://siafe.sefaz.ce.gov.br/Siafe/downloadSignature?token=8802973a95dc494895077bf2418f9b0c","2026NE000792")</f>
        <v>2026NE000792</v>
      </c>
      <c r="H306" s="6">
        <v>755.03</v>
      </c>
      <c r="I306" s="7" t="s">
        <v>41</v>
      </c>
      <c r="J306" s="10" t="s">
        <v>194</v>
      </c>
      <c r="L306" s="13"/>
    </row>
    <row r="307" spans="1:12" ht="51" x14ac:dyDescent="0.25">
      <c r="A307" s="12" t="s">
        <v>111</v>
      </c>
      <c r="B307" s="2" t="s">
        <v>151</v>
      </c>
      <c r="C307" s="3" t="str">
        <f>HYPERLINK("https://transparencia-area-fim.mpce.mp.br/#/consulta/processo/pastadigital/092021000244282","09.2021.00024428-2")</f>
        <v>09.2021.00024428-2</v>
      </c>
      <c r="D307" s="4">
        <v>46191</v>
      </c>
      <c r="E307" s="16" t="str">
        <f>HYPERLINK("https://www8.mpce.mp.br/Empenhos/150001/Objeto/18-2022.pdf","EMPENHO REF. IPTU DE IMÓVEL ONDE FUNCIONAM PROMOTORIAS DE JUSTIÇA DA COMARCA DE CRATEÚS, CONF. CONTRATO 018/2022, REF. IPTU/2026, POR ESTIMATIVA.")</f>
        <v>EMPENHO REF. IPTU DE IMÓVEL ONDE FUNCIONAM PROMOTORIAS DE JUSTIÇA DA COMARCA DE CRATEÚS, CONF. CONTRATO 018/2022, REF. IPTU/2026, POR ESTIMATIVA.</v>
      </c>
      <c r="F307" s="2" t="s">
        <v>289</v>
      </c>
      <c r="G307" s="5" t="str">
        <f>HYPERLINK("https://siafe.sefaz.ce.gov.br/Siafe/downloadSignature?token=df2f3278bbc6460683d21a5c16d06296","2026NE000793")</f>
        <v>2026NE000793</v>
      </c>
      <c r="H307" s="6">
        <v>4343.34</v>
      </c>
      <c r="I307" s="7" t="s">
        <v>21</v>
      </c>
      <c r="J307" s="10" t="s">
        <v>132</v>
      </c>
      <c r="L307" s="13"/>
    </row>
    <row r="308" spans="1:12" ht="51" x14ac:dyDescent="0.25">
      <c r="A308" s="12" t="s">
        <v>111</v>
      </c>
      <c r="B308" s="2" t="s">
        <v>115</v>
      </c>
      <c r="C308" s="3" t="str">
        <f>HYPERLINK("https://transparencia-area-fim.mpce.mp.br/#/consulta/processo/pastadigital/092021000063220","09.2021.00006322-0")</f>
        <v>09.2021.00006322-0</v>
      </c>
      <c r="D308" s="4">
        <v>46191</v>
      </c>
      <c r="E308" s="16" t="str">
        <f>HYPERLINK("https://www8.mpce.mp.br/Empenhos/150001/Objeto/33-2021.pdf","EMPENHO REF. IPTU DE IMÓVEL ONDE FUNCIONAM PROMOTORIAS DE JUSTIÇA DA COMARCA DE SOBRAL, CONF. CONTRATO 033/2021, REF. IPTU/2026, POR ESTIMATIVA.")</f>
        <v>EMPENHO REF. IPTU DE IMÓVEL ONDE FUNCIONAM PROMOTORIAS DE JUSTIÇA DA COMARCA DE SOBRAL, CONF. CONTRATO 033/2021, REF. IPTU/2026, POR ESTIMATIVA.</v>
      </c>
      <c r="F308" s="2" t="s">
        <v>289</v>
      </c>
      <c r="G308" s="5" t="str">
        <f>HYPERLINK("https://siafe.sefaz.ce.gov.br/Siafe/downloadSignature?token=a42fc122a6b24f13be3ce7696ff1366e","2026NE000794")</f>
        <v>2026NE000794</v>
      </c>
      <c r="H308" s="6">
        <v>23834.66</v>
      </c>
      <c r="I308" s="7" t="s">
        <v>21</v>
      </c>
      <c r="J308" s="10" t="s">
        <v>132</v>
      </c>
      <c r="L308" s="13"/>
    </row>
    <row r="309" spans="1:12" ht="51" x14ac:dyDescent="0.25">
      <c r="A309" s="12" t="s">
        <v>111</v>
      </c>
      <c r="B309" s="2" t="s">
        <v>115</v>
      </c>
      <c r="C309" s="3" t="str">
        <f>HYPERLINK("https://transparencia-area-fim.mpce.mp.br/#/consulta/processo/pastadigital/092023000338530","09.2023.00033853-0")</f>
        <v>09.2023.00033853-0</v>
      </c>
      <c r="D309" s="4">
        <v>46191</v>
      </c>
      <c r="E309" s="16" t="str">
        <f>HYPERLINK("https://www8.mpce.mp.br/Empenhos/150001/Objeto/05-2024.pdf","EMPENHO REF. IPTU DE IMÓVEL ONDE FUNCIONAM PROMOTORIAS DE JUSTIÇA DA COMARCA DE BATURITÉ-CE, CONF. CONTRATO 005/2024, REF. IPTU/2026, POR ESTIMATIVA.")</f>
        <v>EMPENHO REF. IPTU DE IMÓVEL ONDE FUNCIONAM PROMOTORIAS DE JUSTIÇA DA COMARCA DE BATURITÉ-CE, CONF. CONTRATO 005/2024, REF. IPTU/2026, POR ESTIMATIVA.</v>
      </c>
      <c r="F309" s="2" t="s">
        <v>289</v>
      </c>
      <c r="G309" s="5" t="str">
        <f>HYPERLINK("https://siafe.sefaz.ce.gov.br/Siafe/downloadSignature?token=08baf687abf04f3fa6577e3080c86ce8","2026NE000795")</f>
        <v>2026NE000795</v>
      </c>
      <c r="H309" s="6">
        <v>1167.1099999999999</v>
      </c>
      <c r="I309" s="7" t="s">
        <v>21</v>
      </c>
      <c r="J309" s="10" t="s">
        <v>132</v>
      </c>
      <c r="L309" s="13"/>
    </row>
    <row r="310" spans="1:12" ht="51" x14ac:dyDescent="0.25">
      <c r="A310" s="12" t="s">
        <v>111</v>
      </c>
      <c r="B310" s="2" t="s">
        <v>151</v>
      </c>
      <c r="C310" s="3" t="str">
        <f>HYPERLINK("https://transparencia-area-fim.mpce.mp.br/#/consulta/processo/pastadigital/092021000244582","09.2021.00024458-2")</f>
        <v>09.2021.00024458-2</v>
      </c>
      <c r="D310" s="4">
        <v>46191</v>
      </c>
      <c r="E310" s="16" t="str">
        <f>HYPERLINK("https://www8.mpce.mp.br/Empenhos/150001/Objeto/11-2022.pdf","EMPENHO REF. ALUGUEL DE IMÓVEL ONDE FUNCIONAM PROMOTORIAS DE JUSTIÇA DA COMARCA DE ARACATI, CONF. CONTRATO 011/2022, REF. MAIO E JUNHO/2026, POR ESTIMATIVA.")</f>
        <v>EMPENHO REF. ALUGUEL DE IMÓVEL ONDE FUNCIONAM PROMOTORIAS DE JUSTIÇA DA COMARCA DE ARACATI, CONF. CONTRATO 011/2022, REF. MAIO E JUNHO/2026, POR ESTIMATIVA.</v>
      </c>
      <c r="F310" s="2" t="s">
        <v>121</v>
      </c>
      <c r="G310" s="5" t="str">
        <f>HYPERLINK("https://siafe.sefaz.ce.gov.br/Siafe/downloadSignature?token=ecf5690d961d4e5a967b5598c1ea5dc5","2026NE000798")</f>
        <v>2026NE000798</v>
      </c>
      <c r="H310" s="6">
        <v>38797.78</v>
      </c>
      <c r="I310" s="7" t="s">
        <v>24</v>
      </c>
      <c r="J310" s="10" t="s">
        <v>171</v>
      </c>
    </row>
    <row r="311" spans="1:12" ht="51" x14ac:dyDescent="0.25">
      <c r="A311" s="12" t="s">
        <v>111</v>
      </c>
      <c r="B311" s="2" t="s">
        <v>151</v>
      </c>
      <c r="C311" s="3" t="str">
        <f>HYPERLINK("https://transparencia-area-fim.mpce.mp.br/#/consulta/processo/pastadigital/092022000343840","09.2022.00034384-0")</f>
        <v>09.2022.00034384-0</v>
      </c>
      <c r="D311" s="4">
        <v>46191</v>
      </c>
      <c r="E311" s="16" t="str">
        <f>HYPERLINK("https://www8.mpce.mp.br/Empenhos/150001/Objeto/11-2023.pdf","EMPENHO REF. ALUGUEL DE IMÓVEL ONDE FUNCIONAM PROMOTORIAS DE JUSTIÇA DA COMARCA DE SANTA QUITÉRIA, CONF. CONTRATO 011/2023, REF. JUN/2026, POR ESTIMATIVA.")</f>
        <v>EMPENHO REF. ALUGUEL DE IMÓVEL ONDE FUNCIONAM PROMOTORIAS DE JUSTIÇA DA COMARCA DE SANTA QUITÉRIA, CONF. CONTRATO 011/2023, REF. JUN/2026, POR ESTIMATIVA.</v>
      </c>
      <c r="F311" s="2" t="s">
        <v>121</v>
      </c>
      <c r="G311" s="5" t="str">
        <f>HYPERLINK("https://siafe.sefaz.ce.gov.br/Siafe/downloadSignature?token=ccae7cf177d74c488ff43c0ba8918d20","2026NE000801")</f>
        <v>2026NE000801</v>
      </c>
      <c r="H311" s="6">
        <v>13867.6</v>
      </c>
      <c r="I311" s="7" t="s">
        <v>53</v>
      </c>
      <c r="J311" s="10" t="s">
        <v>235</v>
      </c>
      <c r="L311" s="13"/>
    </row>
    <row r="312" spans="1:12" ht="89.25" x14ac:dyDescent="0.25">
      <c r="A312" s="12" t="s">
        <v>111</v>
      </c>
      <c r="B312" s="2" t="s">
        <v>159</v>
      </c>
      <c r="C312" s="3" t="str">
        <f>HYPERLINK("https://transparencia-area-fim.mpce.mp.br/#/consulta/processo/pastadigital/092025000042395","09.2025.00004239-5")</f>
        <v>09.2025.00004239-5</v>
      </c>
      <c r="D312" s="4">
        <v>46126</v>
      </c>
      <c r="E312" s="16" t="str">
        <f>HYPERLINK("https://www8.mpce.mp.br/Empenhos/150001/Objeto/10-2025.pdf","EMPENHO REF. RENOVAÇÃO, DE CONTRATAÇÃO DE 01 (UM) SEGURO DRONE R.E.T.A. (RESPONSABILIDADE DO EXPLORADOR E TRANSPORTADOR AÉREO), DESTINADO A COBERTURA DE RISCOS OPERACIONAIS ASSO"&amp;"CIADOS AO USO DO DRONE DO NATEC EM ATIVIDADES TÉCNICAS E INSTITUCIONAIS. CONF. CONTRATO 010/2025, REF. 10/04/2026 A 10/04/2027.")</f>
        <v>EMPENHO REF. RENOVAÇÃO, DE CONTRATAÇÃO DE 01 (UM) SEGURO DRONE R.E.T.A. (RESPONSABILIDADE DO EXPLORADOR E TRANSPORTADOR AÉREO), DESTINADO A COBERTURA DE RISCOS OPERACIONAIS ASSOCIADOS AO USO DO DRONE DO NATEC EM ATIVIDADES TÉCNICAS E INSTITUCIONAIS. CONF. CONTRATO 010/2025, REF. 10/04/2026 A 10/04/2027.</v>
      </c>
      <c r="F312" s="2" t="s">
        <v>197</v>
      </c>
      <c r="G312" s="5" t="str">
        <f>HYPERLINK("https://siafe.sefaz.ce.gov.br/Siafe/downloadSignature?token=586028743f8e4a959fa0cb16e825defc","2026NE000802")</f>
        <v>2026NE000802</v>
      </c>
      <c r="H312" s="6">
        <v>551.35</v>
      </c>
      <c r="I312" s="7" t="s">
        <v>318</v>
      </c>
      <c r="J312" s="10" t="s">
        <v>319</v>
      </c>
      <c r="L312" s="13"/>
    </row>
    <row r="313" spans="1:12" ht="51" x14ac:dyDescent="0.25">
      <c r="A313" s="12" t="s">
        <v>111</v>
      </c>
      <c r="B313" s="2" t="s">
        <v>151</v>
      </c>
      <c r="C313" s="3" t="str">
        <f>HYPERLINK("https://transparencia-area-fim.mpce.mp.br/#/consulta/processo/pastadigital/092021000244449","09.2021.00024444-9")</f>
        <v>09.2021.00024444-9</v>
      </c>
      <c r="D313" s="4">
        <v>46192</v>
      </c>
      <c r="E313" s="16" t="str">
        <f>HYPERLINK("https://www8.mpce.mp.br/Empenhos/150001/Objeto/12-2022.pdf","EMPENHO REF. ALUGUEL DE IMÓVEL ONDE FUNCIONAM PROMOTORIAS DE JUSTIÇA DA COMARCA DE RUSSAS, CONF. CONTRATO 012/2022, REF. JUNHO/2026, POR ESTIMATIVA.")</f>
        <v>EMPENHO REF. ALUGUEL DE IMÓVEL ONDE FUNCIONAM PROMOTORIAS DE JUSTIÇA DA COMARCA DE RUSSAS, CONF. CONTRATO 012/2022, REF. JUNHO/2026, POR ESTIMATIVA.</v>
      </c>
      <c r="F313" s="2" t="s">
        <v>121</v>
      </c>
      <c r="G313" s="5" t="str">
        <f>HYPERLINK("https://siafe.sefaz.ce.gov.br/Siafe/downloadSignature?token=4e08b266fb1f41bcb5f6c4812c2e77c1","2026NE000802")</f>
        <v>2026NE000802</v>
      </c>
      <c r="H313" s="6">
        <v>21918.43</v>
      </c>
      <c r="I313" s="7" t="s">
        <v>164</v>
      </c>
      <c r="J313" s="10" t="s">
        <v>165</v>
      </c>
      <c r="L313" s="13"/>
    </row>
    <row r="314" spans="1:12" ht="51" x14ac:dyDescent="0.25">
      <c r="A314" s="12" t="s">
        <v>111</v>
      </c>
      <c r="B314" s="2" t="s">
        <v>141</v>
      </c>
      <c r="C314" s="3" t="str">
        <f>HYPERLINK("https://transparencia-area-fim.mpce.mp.br/#/consulta/processo/pastadigital/092021000064195","09.2021.00006419-5")</f>
        <v>09.2021.00006419-5</v>
      </c>
      <c r="D314" s="4">
        <v>46192</v>
      </c>
      <c r="E314" s="16" t="str">
        <f>HYPERLINK("https://www8.mpce.mp.br/Empenhos/150001/Objeto/41-2021.pdf","EMPENHO REF. ALUGUEL DE IMÓVEL ONDE FUNCIONAM PROMOTORIAS DE JUSTIÇA DA COMARCA DE QUIXADÁ, CONF. CONTRATO 041/2021, REF. JUNHO/2026, POR ESTIMATIVA.")</f>
        <v>EMPENHO REF. ALUGUEL DE IMÓVEL ONDE FUNCIONAM PROMOTORIAS DE JUSTIÇA DA COMARCA DE QUIXADÁ, CONF. CONTRATO 041/2021, REF. JUNHO/2026, POR ESTIMATIVA.</v>
      </c>
      <c r="F314" s="2" t="s">
        <v>121</v>
      </c>
      <c r="G314" s="5" t="str">
        <f>HYPERLINK("https://siafe.sefaz.ce.gov.br/Siafe/downloadSignature?token=f7b723a7549944dc943738d922258dda","2026NE000803")</f>
        <v>2026NE000803</v>
      </c>
      <c r="H314" s="6">
        <v>19363.07</v>
      </c>
      <c r="I314" s="7" t="s">
        <v>144</v>
      </c>
      <c r="J314" s="10" t="s">
        <v>145</v>
      </c>
      <c r="L314" s="13"/>
    </row>
    <row r="315" spans="1:12" ht="51" x14ac:dyDescent="0.25">
      <c r="A315" s="12" t="s">
        <v>111</v>
      </c>
      <c r="B315" s="2" t="s">
        <v>115</v>
      </c>
      <c r="C315" s="3" t="str">
        <f>HYPERLINK("https://transparencia-area-fim.mpce.mp.br/#/consulta/processo/pastadigital/092021000079244","09.2021.00007924-4")</f>
        <v>09.2021.00007924-4</v>
      </c>
      <c r="D315" s="4">
        <v>46192</v>
      </c>
      <c r="E315" s="16" t="str">
        <f>HYPERLINK("https://www8.mpce.mp.br/Empenhos/150001/Objeto/27-2021.pdf","EMPENHO REF. TAXAS CONDOMINIAIS DE IMÓVEL ONDE FUNCIONAM PROMOTORIAS DE JUSTIÇA DA COMARCA DE EUSÉBIO, CONF. CONTRATO 027/2021, REF. JUNHO/2026, POR ESTIMATIVA.")</f>
        <v>EMPENHO REF. TAXAS CONDOMINIAIS DE IMÓVEL ONDE FUNCIONAM PROMOTORIAS DE JUSTIÇA DA COMARCA DE EUSÉBIO, CONF. CONTRATO 027/2021, REF. JUNHO/2026, POR ESTIMATIVA.</v>
      </c>
      <c r="F315" s="2" t="s">
        <v>121</v>
      </c>
      <c r="G315" s="5" t="str">
        <f>HYPERLINK("https://siafe.sefaz.ce.gov.br/Siafe/downloadSignature?token=be15f4c1ba834c64a4d0cd64844553f7","2026NE000804")</f>
        <v>2026NE000804</v>
      </c>
      <c r="H315" s="6">
        <v>5681.4</v>
      </c>
      <c r="I315" s="7" t="s">
        <v>42</v>
      </c>
      <c r="J315" s="10" t="s">
        <v>120</v>
      </c>
      <c r="L315" s="13"/>
    </row>
    <row r="316" spans="1:12" ht="51" x14ac:dyDescent="0.25">
      <c r="A316" s="12" t="s">
        <v>111</v>
      </c>
      <c r="B316" s="2" t="s">
        <v>159</v>
      </c>
      <c r="C316" s="3" t="str">
        <f>HYPERLINK("https://transparencia-area-fim.mpce.mp.br/#/consulta/processo/pastadigital/092023000338541","09.2023.00033854-1")</f>
        <v>09.2023.00033854-1</v>
      </c>
      <c r="D316" s="4">
        <v>46191</v>
      </c>
      <c r="E316" s="16" t="str">
        <f>HYPERLINK("https://www8.mpce.mp.br/Empenhos/150001/Objeto/36-2024.pdf","EMPENHO REF. ALUGUEL DE IMÓVEL ONDE FUNCIONAM PROMOTORIAS DE JUSTIÇA DA COMARCA DE MORADA NOVA, CONF. CONTRATO 036/2024, REF. JUNHO/2026, POR ESTIMATIVA.")</f>
        <v>EMPENHO REF. ALUGUEL DE IMÓVEL ONDE FUNCIONAM PROMOTORIAS DE JUSTIÇA DA COMARCA DE MORADA NOVA, CONF. CONTRATO 036/2024, REF. JUNHO/2026, POR ESTIMATIVA.</v>
      </c>
      <c r="F316" s="2" t="s">
        <v>121</v>
      </c>
      <c r="G316" s="5" t="str">
        <f>HYPERLINK("https://siafe.sefaz.ce.gov.br/Siafe/downloadSignature?token=8750f2f496d64cb29b7346a7ab79dab5","2026NE000806")</f>
        <v>2026NE000806</v>
      </c>
      <c r="H316" s="6">
        <v>18387.5</v>
      </c>
      <c r="I316" s="7" t="s">
        <v>27</v>
      </c>
      <c r="J316" s="10" t="s">
        <v>134</v>
      </c>
      <c r="L316" s="13"/>
    </row>
    <row r="317" spans="1:12" ht="51" x14ac:dyDescent="0.25">
      <c r="A317" s="12" t="s">
        <v>111</v>
      </c>
      <c r="B317" s="2" t="s">
        <v>115</v>
      </c>
      <c r="C317" s="3" t="str">
        <f>HYPERLINK("https://transparencia-area-fim.mpce.mp.br/#/consulta/processo/pastadigital/092022000230870","09.2022.00023087-0")</f>
        <v>09.2022.00023087-0</v>
      </c>
      <c r="D317" s="4">
        <v>46192</v>
      </c>
      <c r="E317" s="16" t="str">
        <f>HYPERLINK("https://www8.mpce.mp.br/Empenhos/150001/Objeto/29-2022.pdf","EMPENHO REF. ALUGUEL DE IMÓVEL ONDE FUNCIONAM PROMOTORIAS DE JUSTIÇA DA COMARCA DE JUAZEIRO DO NORTE, CONF. CONTRATO 029/2022, REF. JUNHO/2026, POR ESTIMATIVA.")</f>
        <v>EMPENHO REF. ALUGUEL DE IMÓVEL ONDE FUNCIONAM PROMOTORIAS DE JUSTIÇA DA COMARCA DE JUAZEIRO DO NORTE, CONF. CONTRATO 029/2022, REF. JUNHO/2026, POR ESTIMATIVA.</v>
      </c>
      <c r="F317" s="2" t="s">
        <v>121</v>
      </c>
      <c r="G317" s="5" t="str">
        <f>HYPERLINK("https://siafe.sefaz.ce.gov.br/Siafe/downloadSignature?token=f37f14c2c7d64c628c9624f5ee694fd0","2026NE000807")</f>
        <v>2026NE000807</v>
      </c>
      <c r="H317" s="6">
        <v>70717.740000000005</v>
      </c>
      <c r="I317" s="7" t="s">
        <v>20</v>
      </c>
      <c r="J317" s="10" t="s">
        <v>135</v>
      </c>
      <c r="L317" s="13"/>
    </row>
    <row r="318" spans="1:12" ht="51" x14ac:dyDescent="0.25">
      <c r="A318" s="12" t="s">
        <v>111</v>
      </c>
      <c r="B318" s="2" t="s">
        <v>115</v>
      </c>
      <c r="C318" s="3" t="str">
        <f>HYPERLINK("https://transparencia-area-fim.mpce.mp.br/#/consulta/processo/pastadigital/092022000197876","09.2022.00019787-6")</f>
        <v>09.2022.00019787-6</v>
      </c>
      <c r="D318" s="4">
        <v>46192</v>
      </c>
      <c r="E318" s="16" t="str">
        <f>HYPERLINK("https://www8.mpce.mp.br/Empenhos/150001/Objeto/02-2023.pdf","EMPENHO REF. ALUGUEL DE IMÓVEL ONDE FUNCIONA O NÚCLEO DE MEDIAÇÃO COMUNITÁRIA DO BOM JARDIM, CONF. CONTRATO 002/2023, REF. JUN/2026, POR ESTIMATIVA.")</f>
        <v>EMPENHO REF. ALUGUEL DE IMÓVEL ONDE FUNCIONA O NÚCLEO DE MEDIAÇÃO COMUNITÁRIA DO BOM JARDIM, CONF. CONTRATO 002/2023, REF. JUN/2026, POR ESTIMATIVA.</v>
      </c>
      <c r="F318" s="2" t="s">
        <v>121</v>
      </c>
      <c r="G318" s="5" t="str">
        <f>HYPERLINK("https://siafe.sefaz.ce.gov.br/Siafe/downloadSignature?token=6d3ab19a96df429db0e07acd7421e3f3","2026NE000810")</f>
        <v>2026NE000810</v>
      </c>
      <c r="H318" s="6">
        <v>5600</v>
      </c>
      <c r="I318" s="7" t="s">
        <v>28</v>
      </c>
      <c r="J318" s="10" t="s">
        <v>133</v>
      </c>
      <c r="L318" s="13"/>
    </row>
    <row r="319" spans="1:12" ht="51" x14ac:dyDescent="0.25">
      <c r="A319" s="12" t="s">
        <v>111</v>
      </c>
      <c r="B319" s="2" t="s">
        <v>151</v>
      </c>
      <c r="C319" s="3" t="str">
        <f>HYPERLINK("https://transparencia-area-fim.mpce.mp.br/#/consulta/processo/pastadigital/092022000343818","09.2022.00034381-8")</f>
        <v>09.2022.00034381-8</v>
      </c>
      <c r="D319" s="4">
        <v>46192</v>
      </c>
      <c r="E319" s="16" t="str">
        <f>HYPERLINK("https://www8.mpce.mp.br/Empenhos/150001/Objeto/24-2023.pdf","EMPENHO REF. ALUGUEL DE IMÓVEL ONDE FUNCIONAM PROMOTORIAS DE JUSTIÇA DA COMARCA DE ITAPIPOCA, CONF. CONTRATO 024/2023, REF. JUNHO/2026, POR ESTIMATIVA.")</f>
        <v>EMPENHO REF. ALUGUEL DE IMÓVEL ONDE FUNCIONAM PROMOTORIAS DE JUSTIÇA DA COMARCA DE ITAPIPOCA, CONF. CONTRATO 024/2023, REF. JUNHO/2026, POR ESTIMATIVA.</v>
      </c>
      <c r="F319" s="2" t="s">
        <v>121</v>
      </c>
      <c r="G319" s="5" t="str">
        <f>HYPERLINK("https://siafe.sefaz.ce.gov.br/Siafe/downloadSignature?token=3880267627ed41ee9568de58ca211363","2026NE000811")</f>
        <v>2026NE000811</v>
      </c>
      <c r="H319" s="6">
        <v>18857.89</v>
      </c>
      <c r="I319" s="7" t="s">
        <v>76</v>
      </c>
      <c r="J319" s="10" t="s">
        <v>177</v>
      </c>
      <c r="L319" s="13"/>
    </row>
    <row r="320" spans="1:12" ht="38.25" x14ac:dyDescent="0.25">
      <c r="A320" s="12" t="s">
        <v>111</v>
      </c>
      <c r="B320" s="2" t="s">
        <v>151</v>
      </c>
      <c r="C320" s="3" t="str">
        <f>HYPERLINK("http://www8.mpce.mp.br/Dispensa/4793720162.pdf","4793720162")</f>
        <v>4793720162</v>
      </c>
      <c r="D320" s="4">
        <v>46192</v>
      </c>
      <c r="E320" s="16" t="str">
        <f>HYPERLINK("https://www8.mpce.mp.br/Empenhos/150001/Objeto/14-2017.pdf","EMPENHO REF. ALUGUEL DE IMÓVEL ONDE FUNCIONAM ALMOXARIFADO E PATRIMÔNIO, CONF. CONTRATO 014/2017, REF. JUNHO/2026, POR ESTIMATIVA.")</f>
        <v>EMPENHO REF. ALUGUEL DE IMÓVEL ONDE FUNCIONAM ALMOXARIFADO E PATRIMÔNIO, CONF. CONTRATO 014/2017, REF. JUNHO/2026, POR ESTIMATIVA.</v>
      </c>
      <c r="F320" s="2" t="s">
        <v>121</v>
      </c>
      <c r="G320" s="5" t="str">
        <f>HYPERLINK("https://siafe.sefaz.ce.gov.br/Siafe/downloadSignature?token=846abcc54ff342108c72a7cf970fd831","2026NE000812")</f>
        <v>2026NE000812</v>
      </c>
      <c r="H320" s="6">
        <v>27200</v>
      </c>
      <c r="I320" s="7" t="s">
        <v>30</v>
      </c>
      <c r="J320" s="10" t="s">
        <v>157</v>
      </c>
      <c r="L320" s="13"/>
    </row>
    <row r="321" spans="1:12" ht="38.25" x14ac:dyDescent="0.25">
      <c r="A321" s="12" t="s">
        <v>111</v>
      </c>
      <c r="B321" s="2" t="s">
        <v>115</v>
      </c>
      <c r="C321" s="3" t="str">
        <f>HYPERLINK("https://transparencia-area-fim.mpce.mp.br/#/consulta/processo/pastadigital/092021000244550","09.2021.00024455-0")</f>
        <v>09.2021.00024455-0</v>
      </c>
      <c r="D321" s="4">
        <v>46192</v>
      </c>
      <c r="E321" s="16" t="str">
        <f>HYPERLINK("https://www8.mpce.mp.br/Empenhos/150001/Objeto/10-2022.pdf","EMPENHO REF. ALUGUEL DE IMÓVEL ONDE FUNCIONAM PROMOTORIAS DE JUSTIÇA DA COMARCA DE ICÓ, CONF. CONTRATO 010/2022, REF. JUNHO/2026, POR ESTIMATIVA.")</f>
        <v>EMPENHO REF. ALUGUEL DE IMÓVEL ONDE FUNCIONAM PROMOTORIAS DE JUSTIÇA DA COMARCA DE ICÓ, CONF. CONTRATO 010/2022, REF. JUNHO/2026, POR ESTIMATIVA.</v>
      </c>
      <c r="F321" s="2" t="s">
        <v>121</v>
      </c>
      <c r="G321" s="5" t="str">
        <f>HYPERLINK("https://siafe.sefaz.ce.gov.br/Siafe/downloadSignature?token=dffd2d0bada045c7b37a1b0ef42c1f3b","2026NE000813")</f>
        <v>2026NE000813</v>
      </c>
      <c r="H321" s="6">
        <v>14254.31</v>
      </c>
      <c r="I321" s="7" t="s">
        <v>25</v>
      </c>
      <c r="J321" s="10" t="s">
        <v>137</v>
      </c>
      <c r="L321" s="13"/>
    </row>
    <row r="322" spans="1:12" ht="38.25" x14ac:dyDescent="0.25">
      <c r="A322" s="12" t="s">
        <v>111</v>
      </c>
      <c r="B322" s="2" t="s">
        <v>141</v>
      </c>
      <c r="C322" s="3" t="str">
        <f>HYPERLINK("https://transparencia-area-fim.mpce.mp.br/#/consulta/processo/pastadigital/092021000065217","09.2021.00006521-7")</f>
        <v>09.2021.00006521-7</v>
      </c>
      <c r="D322" s="4">
        <v>46192</v>
      </c>
      <c r="E322" s="16" t="str">
        <f>HYPERLINK("https://www8.mpce.mp.br/Empenhos/150001/Objeto/38-2021.pdf","EMPENHO REF. ALUGUEL DE IMÓVEL ONDE FUNCIONAM PROMOTORIAS DE JUSTIÇA DA COMARCA DE TAUÁ, CONF. CONTRATO 038/2021, REF. JUNHO/2026, POR ESTIMATIVA.")</f>
        <v>EMPENHO REF. ALUGUEL DE IMÓVEL ONDE FUNCIONAM PROMOTORIAS DE JUSTIÇA DA COMARCA DE TAUÁ, CONF. CONTRATO 038/2021, REF. JUNHO/2026, POR ESTIMATIVA.</v>
      </c>
      <c r="F322" s="2" t="s">
        <v>121</v>
      </c>
      <c r="G322" s="5" t="str">
        <f>HYPERLINK("https://siafe.sefaz.ce.gov.br/Siafe/downloadSignature?token=09e883063ad34559a2e88439f385deb0","2026NE000814")</f>
        <v>2026NE000814</v>
      </c>
      <c r="H322" s="6">
        <v>19504.8</v>
      </c>
      <c r="I322" s="7" t="s">
        <v>26</v>
      </c>
      <c r="J322" s="10" t="s">
        <v>142</v>
      </c>
      <c r="L322" s="13"/>
    </row>
    <row r="323" spans="1:12" ht="45" x14ac:dyDescent="0.25">
      <c r="A323" s="12" t="s">
        <v>122</v>
      </c>
      <c r="B323" s="2" t="s">
        <v>146</v>
      </c>
      <c r="C323" s="3" t="str">
        <f>HYPERLINK("https://transparencia-area-fim.mpce.mp.br/#/consulta/processo/pastadigital/092023000293915","09.2023.00029391-5")</f>
        <v>09.2023.00029391-5</v>
      </c>
      <c r="D323" s="4">
        <v>46192</v>
      </c>
      <c r="E323" s="17" t="str">
        <f>HYPERLINK("https://www8.mpce.mp.br/Empenhos/150001/Objeto/54-2023.pdf","EMPENHO REF. ALUGUEL DE IMÓVEL ONDE FUNCIONAM ALMOXARIFADO E PATRIMÔNIO, CONF. CONTRATO 054/2023, REF. JUNHO/2026, POR ESTIMATIVA.")</f>
        <v>EMPENHO REF. ALUGUEL DE IMÓVEL ONDE FUNCIONAM ALMOXARIFADO E PATRIMÔNIO, CONF. CONTRATO 054/2023, REF. JUNHO/2026, POR ESTIMATIVA.</v>
      </c>
      <c r="F323" s="2" t="s">
        <v>121</v>
      </c>
      <c r="G323" s="5" t="str">
        <f>HYPERLINK("https://siafe.sefaz.ce.gov.br/Siafe/downloadSignature?token=fff7f3c0636b4a83826b6c2c9b80eaf5","2026NE000815")</f>
        <v>2026NE000815</v>
      </c>
      <c r="H323" s="6">
        <v>23584.99</v>
      </c>
      <c r="I323" s="7" t="s">
        <v>30</v>
      </c>
      <c r="J323" s="10" t="s">
        <v>157</v>
      </c>
      <c r="L323" s="13"/>
    </row>
    <row r="324" spans="1:12" ht="51" x14ac:dyDescent="0.25">
      <c r="A324" s="12" t="s">
        <v>111</v>
      </c>
      <c r="B324" s="2" t="s">
        <v>115</v>
      </c>
      <c r="C324" s="3" t="str">
        <f>HYPERLINK("https://transparencia-area-fim.mpce.mp.br/#/consulta/processo/pastadigital/092023000338530","09.2023.00033853-0")</f>
        <v>09.2023.00033853-0</v>
      </c>
      <c r="D324" s="4">
        <v>46192</v>
      </c>
      <c r="E324" s="16" t="str">
        <f>HYPERLINK("https://www8.mpce.mp.br/Empenhos/150001/Objeto/05-2024.pdf","EMPENHO REF. ALUGUEL DE IMÓVEL ONDE FUNCIONAM PROMOTORIAS DE JUSTIÇA DA COMARCA DE BATURITÉ-CE, CONF. CONTRATO 005/2024, REF. JUNHO/2026, POR ESTIMATIVA.")</f>
        <v>EMPENHO REF. ALUGUEL DE IMÓVEL ONDE FUNCIONAM PROMOTORIAS DE JUSTIÇA DA COMARCA DE BATURITÉ-CE, CONF. CONTRATO 005/2024, REF. JUNHO/2026, POR ESTIMATIVA.</v>
      </c>
      <c r="F324" s="2" t="s">
        <v>121</v>
      </c>
      <c r="G324" s="5" t="str">
        <f>HYPERLINK("https://siafe.sefaz.ce.gov.br/Siafe/downloadSignature?token=d29717915d684f629c3df21f3ad49b7e","2026NE000816")</f>
        <v>2026NE000816</v>
      </c>
      <c r="H324" s="6">
        <v>15272</v>
      </c>
      <c r="I324" s="7" t="s">
        <v>21</v>
      </c>
      <c r="J324" s="10" t="s">
        <v>132</v>
      </c>
      <c r="L324" s="13"/>
    </row>
    <row r="325" spans="1:12" ht="45" x14ac:dyDescent="0.25">
      <c r="A325" s="12" t="s">
        <v>111</v>
      </c>
      <c r="B325" s="2" t="s">
        <v>115</v>
      </c>
      <c r="C325" s="3" t="str">
        <f>HYPERLINK("https://transparencia-area-fim.mpce.mp.br/#/consulta/processo/pastadigital/092021000219739","09.2021.00021973-9")</f>
        <v>09.2021.00021973-9</v>
      </c>
      <c r="D325" s="4">
        <v>46192</v>
      </c>
      <c r="E325" s="17" t="str">
        <f>HYPERLINK("https://www8.mpce.mp.br/Empenhos/150001/Objeto/45-2021.pdf","EMPENHO REF. TAXAS CONDOMINIAIS ONDE FUNCIONAM PROMOTORIAS DE JUSTIÇA DA COMARCA DE EUSÉBIO, CONF. CONTRATO 045/2021, REF. JUNHO/2026, POR ESTIMATIVA.")</f>
        <v>EMPENHO REF. TAXAS CONDOMINIAIS ONDE FUNCIONAM PROMOTORIAS DE JUSTIÇA DA COMARCA DE EUSÉBIO, CONF. CONTRATO 045/2021, REF. JUNHO/2026, POR ESTIMATIVA.</v>
      </c>
      <c r="F325" s="2" t="s">
        <v>119</v>
      </c>
      <c r="G325" s="5" t="str">
        <f>HYPERLINK("https://siafe.sefaz.ce.gov.br/Siafe/downloadSignature?token=6dbb91d00b9c43b3b3483684ba7eb4e3","2026NE000817")</f>
        <v>2026NE000817</v>
      </c>
      <c r="H325" s="6">
        <v>524.88</v>
      </c>
      <c r="I325" s="7" t="s">
        <v>42</v>
      </c>
      <c r="J325" s="10" t="s">
        <v>120</v>
      </c>
      <c r="L325" s="13"/>
    </row>
    <row r="326" spans="1:12" ht="51" x14ac:dyDescent="0.25">
      <c r="A326" s="12" t="s">
        <v>111</v>
      </c>
      <c r="B326" s="2" t="s">
        <v>115</v>
      </c>
      <c r="C326" s="3" t="str">
        <f>HYPERLINK("http://www8.mpce.mp.br/Dispensa/1984020196.pdf","19840/2019-6")</f>
        <v>19840/2019-6</v>
      </c>
      <c r="D326" s="4">
        <v>46192</v>
      </c>
      <c r="E326" s="16" t="str">
        <f>HYPERLINK("https://www8.mpce.mp.br/Empenhos/150001/Objeto/48-2019.pdf","EMPENHO REF. ALUGUEL DE IMÓVEL ONDE FUNCIONAM PROMOTORIAS DE JUSTIÇA DA COMARCA DE CAUCAIA, CONF. CONTRATO 048/2019, REF. JUNHO/2026, POR ESTIMATIVA.")</f>
        <v>EMPENHO REF. ALUGUEL DE IMÓVEL ONDE FUNCIONAM PROMOTORIAS DE JUSTIÇA DA COMARCA DE CAUCAIA, CONF. CONTRATO 048/2019, REF. JUNHO/2026, POR ESTIMATIVA.</v>
      </c>
      <c r="F326" s="2" t="s">
        <v>121</v>
      </c>
      <c r="G326" s="5" t="str">
        <f>HYPERLINK("https://siafe.sefaz.ce.gov.br/Siafe/downloadSignature?token=3665448850294c81b52389a22d7f0911","2026NE000818")</f>
        <v>2026NE000818</v>
      </c>
      <c r="H326" s="6">
        <v>48652.37</v>
      </c>
      <c r="I326" s="7" t="s">
        <v>27</v>
      </c>
      <c r="J326" s="10" t="s">
        <v>134</v>
      </c>
    </row>
    <row r="327" spans="1:12" ht="51" x14ac:dyDescent="0.25">
      <c r="A327" s="12" t="s">
        <v>111</v>
      </c>
      <c r="B327" s="2" t="s">
        <v>115</v>
      </c>
      <c r="C327" s="3" t="str">
        <f>HYPERLINK("https://transparencia-area-fim.mpce.mp.br/#/consulta/processo/pastadigital/092021000063220","09.2021.00006322-0")</f>
        <v>09.2021.00006322-0</v>
      </c>
      <c r="D327" s="4">
        <v>46192</v>
      </c>
      <c r="E327" s="16" t="str">
        <f>HYPERLINK("https://www8.mpce.mp.br/Empenhos/150001/Objeto/33-2021.pdf","EMPENHO REF. ALUGUEL DE IMÓVEL ONDE FUNCIONAM PROMOTORIAS DE JUSTIÇA DA COMARCA DE SOBRAL, CONF. CONTRATO 033/2021, REF. JUNHO/2026, POR ESTIMATIVA.")</f>
        <v>EMPENHO REF. ALUGUEL DE IMÓVEL ONDE FUNCIONAM PROMOTORIAS DE JUSTIÇA DA COMARCA DE SOBRAL, CONF. CONTRATO 033/2021, REF. JUNHO/2026, POR ESTIMATIVA.</v>
      </c>
      <c r="F327" s="2" t="s">
        <v>121</v>
      </c>
      <c r="G327" s="5" t="str">
        <f>HYPERLINK("https://siafe.sefaz.ce.gov.br/Siafe/downloadSignature?token=b78d13518d4849dc998d13738803ccfe","2026NE000819")</f>
        <v>2026NE000819</v>
      </c>
      <c r="H327" s="6">
        <v>36266.65</v>
      </c>
      <c r="I327" s="7" t="s">
        <v>21</v>
      </c>
      <c r="J327" s="10" t="s">
        <v>132</v>
      </c>
      <c r="L327" s="13"/>
    </row>
    <row r="328" spans="1:12" ht="51" x14ac:dyDescent="0.25">
      <c r="A328" s="12" t="s">
        <v>111</v>
      </c>
      <c r="B328" s="2" t="s">
        <v>151</v>
      </c>
      <c r="C328" s="3" t="str">
        <f>HYPERLINK("http://www8.mpce.mp.br/Dispensa/842220170.pdf","8422/20170")</f>
        <v>8422/20170</v>
      </c>
      <c r="D328" s="4">
        <v>46192</v>
      </c>
      <c r="E328" s="16" t="str">
        <f>HYPERLINK("https://www8.mpce.mp.br/Empenhos/150001/Objeto/16-2017.pdf","EMPENHO REF. ALUGUEL DE IMÓVEL ONDE FUNCIONAM PROMOTORIAS DE JUSTIÇA DA COMARCA CRIMINAIS DE FORTALEZA, CONF. CONTRATO 016/2017, REF. JUNHO/2026, POR ESTIMATIVA.")</f>
        <v>EMPENHO REF. ALUGUEL DE IMÓVEL ONDE FUNCIONAM PROMOTORIAS DE JUSTIÇA DA COMARCA CRIMINAIS DE FORTALEZA, CONF. CONTRATO 016/2017, REF. JUNHO/2026, POR ESTIMATIVA.</v>
      </c>
      <c r="F328" s="2" t="s">
        <v>121</v>
      </c>
      <c r="G328" s="5" t="str">
        <f>HYPERLINK("https://siafe.sefaz.ce.gov.br/Siafe/downloadSignature?token=fbae1281f4b4439e8e5ac15aa5e799a1","2026NE000820")</f>
        <v>2026NE000820</v>
      </c>
      <c r="H328" s="6">
        <v>63283.24</v>
      </c>
      <c r="I328" s="7" t="s">
        <v>29</v>
      </c>
      <c r="J328" s="10" t="s">
        <v>154</v>
      </c>
      <c r="L328" s="13"/>
    </row>
    <row r="329" spans="1:12" ht="51" x14ac:dyDescent="0.25">
      <c r="A329" s="12" t="s">
        <v>111</v>
      </c>
      <c r="B329" s="2" t="s">
        <v>151</v>
      </c>
      <c r="C329" s="3" t="str">
        <f>HYPERLINK("https://transparencia-area-fim.mpce.mp.br/#/consulta/processo/pastadigital/092021000244271","09.2021.00024427-1")</f>
        <v>09.2021.00024427-1</v>
      </c>
      <c r="D329" s="4">
        <v>46192</v>
      </c>
      <c r="E329" s="16" t="str">
        <f>HYPERLINK("https://www8.mpce.mp.br/Empenhos/150001/Objeto/17-2022.pdf","EMPENHO REF. ALUGUEL DE IMÓVEL ONDE FUNCIONAM PROMOTORIAS DE JUSTIÇA DA COMARCA DE TIANGUÁ, CONF. CONTRATO 017/2022, REF. JUNHO/2026, POR ESTIMATIVA.")</f>
        <v>EMPENHO REF. ALUGUEL DE IMÓVEL ONDE FUNCIONAM PROMOTORIAS DE JUSTIÇA DA COMARCA DE TIANGUÁ, CONF. CONTRATO 017/2022, REF. JUNHO/2026, POR ESTIMATIVA.</v>
      </c>
      <c r="F329" s="2" t="s">
        <v>121</v>
      </c>
      <c r="G329" s="5" t="str">
        <f>HYPERLINK("https://siafe.sefaz.ce.gov.br/Siafe/downloadSignature?token=9edccd7cc8a4427ebd6cce1506a2ed92","2026NE000821")</f>
        <v>2026NE000821</v>
      </c>
      <c r="H329" s="6">
        <v>27319.5</v>
      </c>
      <c r="I329" s="7" t="s">
        <v>22</v>
      </c>
      <c r="J329" s="10" t="s">
        <v>174</v>
      </c>
      <c r="L329" s="13"/>
    </row>
    <row r="330" spans="1:12" ht="51" x14ac:dyDescent="0.25">
      <c r="A330" s="12" t="s">
        <v>111</v>
      </c>
      <c r="B330" s="2" t="s">
        <v>151</v>
      </c>
      <c r="C330" s="3" t="str">
        <f>HYPERLINK("https://transparencia-area-fim.mpce.mp.br/#/consulta/processo/pastadigital/092022000081432","09.2022.00008143-2")</f>
        <v>09.2022.00008143-2</v>
      </c>
      <c r="D330" s="4">
        <v>46192</v>
      </c>
      <c r="E330" s="16" t="str">
        <f>HYPERLINK("https://www8.mpce.mp.br/Empenhos/150001/Objeto/16-2022.pdf","EMPENHO REF. ALUGUEL DE IMÓVEL ONDE FUNCIONAM PROMOTORIAS DE JUSTIÇA DA COMARCA DE BARBALHA, CONF. CONTRATO 016/2022, REF. JUNHO/2026, POR ESTIMATIVA.")</f>
        <v>EMPENHO REF. ALUGUEL DE IMÓVEL ONDE FUNCIONAM PROMOTORIAS DE JUSTIÇA DA COMARCA DE BARBALHA, CONF. CONTRATO 016/2022, REF. JUNHO/2026, POR ESTIMATIVA.</v>
      </c>
      <c r="F330" s="2" t="s">
        <v>121</v>
      </c>
      <c r="G330" s="5" t="str">
        <f>HYPERLINK("https://siafe.sefaz.ce.gov.br/Siafe/downloadSignature?token=4286f3af3b2444d49776f4dade59ffa9","2026NE000822")</f>
        <v>2026NE000822</v>
      </c>
      <c r="H330" s="6">
        <v>17343.07</v>
      </c>
      <c r="I330" s="7" t="s">
        <v>20</v>
      </c>
      <c r="J330" s="10" t="s">
        <v>135</v>
      </c>
      <c r="L330" s="13"/>
    </row>
    <row r="331" spans="1:12" ht="51" x14ac:dyDescent="0.25">
      <c r="A331" s="12" t="s">
        <v>111</v>
      </c>
      <c r="B331" s="2" t="s">
        <v>115</v>
      </c>
      <c r="C331" s="3" t="str">
        <f>HYPERLINK("https://transparencia-area-fim.mpce.mp.br/#/consulta/processo/pastadigital/092023000338563","09.2023.00033856-3")</f>
        <v>09.2023.00033856-3</v>
      </c>
      <c r="D331" s="4">
        <v>46196</v>
      </c>
      <c r="E331" s="16" t="str">
        <f>HYPERLINK("https://www8.mpce.mp.br/Empenhos/150001/Objeto/01-2024.pdf","EMPENHO REF. ALUGUEL DE IMÓVEL ONDE FUNCIONAM PROMOTORIAS DE JUSTIÇA DA COMARCA DE AQUIRAZ, CONF. CONTRATO 001/2024, REF. JUN/2026, POR ESTIMATIVA.")</f>
        <v>EMPENHO REF. ALUGUEL DE IMÓVEL ONDE FUNCIONAM PROMOTORIAS DE JUSTIÇA DA COMARCA DE AQUIRAZ, CONF. CONTRATO 001/2024, REF. JUN/2026, POR ESTIMATIVA.</v>
      </c>
      <c r="F331" s="2" t="s">
        <v>121</v>
      </c>
      <c r="G331" s="5" t="str">
        <f>HYPERLINK("https://siafe.sefaz.ce.gov.br/Siafe/downloadSignature?token=32fd26d1995747a58d4a6e0bb9575f1a","2026NE000828")</f>
        <v>2026NE000828</v>
      </c>
      <c r="H331" s="6">
        <v>17232</v>
      </c>
      <c r="I331" s="7" t="s">
        <v>27</v>
      </c>
      <c r="J331" s="10" t="s">
        <v>134</v>
      </c>
      <c r="L331" s="13"/>
    </row>
    <row r="332" spans="1:12" ht="76.5" x14ac:dyDescent="0.25">
      <c r="A332" s="12" t="s">
        <v>111</v>
      </c>
      <c r="B332" s="2" t="s">
        <v>159</v>
      </c>
      <c r="C332" s="3" t="str">
        <f>HYPERLINK("https://transparencia-area-fim.mpce.mp.br/#/consulta/processo/pastadigital/092024000350649","09.2024.00035064-9")</f>
        <v>09.2024.00035064-9</v>
      </c>
      <c r="D332" s="4">
        <v>46129</v>
      </c>
      <c r="E332" s="16" t="str">
        <f>HYPERLINK("https://www8.mpce.mp.br/Empenhos/150001/Objeto/09-2025.pdf","EMPENHO REF. PRESTAÇÃO DE SERVIÇOS DE HOSPEDAGEM EM NUVENS, MANUTENÇÃO DO SISTEMA OJS ESSENCIAIS A PRESERVAÇÃO DO ACERVO DIGITAL E A REGULARIDADE DAS PUBLICAÇÕES DA REVISTA ACAD"&amp;"ÊMICA DO MINISTÉRIO PÚBLICO, CONF. CONTRATO Nº 009/2025, REF. ABR A DEZ/2026, POR ESTIMATIVA.")</f>
        <v>EMPENHO REF. PRESTAÇÃO DE SERVIÇOS DE HOSPEDAGEM EM NUVENS, MANUTENÇÃO DO SISTEMA OJS ESSENCIAIS A PRESERVAÇÃO DO ACERVO DIGITAL E A REGULARIDADE DAS PUBLICAÇÕES DA REVISTA ACADÊMICA DO MINISTÉRIO PÚBLICO, CONF. CONTRATO Nº 009/2025, REF. ABR A DEZ/2026, POR ESTIMATIVA.</v>
      </c>
      <c r="F332" s="2" t="s">
        <v>282</v>
      </c>
      <c r="G332" s="5" t="str">
        <f>HYPERLINK("https://siafe.sefaz.ce.gov.br/Siafe/downloadSignature?token=c913ba140fa949f499db480b9a4702eb","2026NE000830")</f>
        <v>2026NE000830</v>
      </c>
      <c r="H332" s="6">
        <v>960</v>
      </c>
      <c r="I332" s="7" t="s">
        <v>283</v>
      </c>
      <c r="J332" s="10" t="s">
        <v>284</v>
      </c>
    </row>
    <row r="333" spans="1:12" ht="45" x14ac:dyDescent="0.25">
      <c r="A333" s="12" t="s">
        <v>111</v>
      </c>
      <c r="B333" s="2" t="s">
        <v>151</v>
      </c>
      <c r="C333" s="3" t="str">
        <f>HYPERLINK("https://transparencia-area-fim.mpce.mp.br/#/consulta/processo/pastadigital/092021000244282","09.2021.00024428-2")</f>
        <v>09.2021.00024428-2</v>
      </c>
      <c r="D333" s="4">
        <v>46198</v>
      </c>
      <c r="E333" s="17" t="str">
        <f>HYPERLINK("https://www8.mpce.mp.br/Empenhos/150001/Objeto/18-2022.pdf","EMPENHO REF. ALUGUEL DE IMÓVEL ONDE FUNCIONAM PROMOTORIAS DE JUSTIÇA DA COMARCA DE CRATEÚS, CONF. CONTRATO 018/2022, REF. JUN/2026, POR ESTIMATIVA.")</f>
        <v>EMPENHO REF. ALUGUEL DE IMÓVEL ONDE FUNCIONAM PROMOTORIAS DE JUSTIÇA DA COMARCA DE CRATEÚS, CONF. CONTRATO 018/2022, REF. JUN/2026, POR ESTIMATIVA.</v>
      </c>
      <c r="F333" s="2" t="s">
        <v>254</v>
      </c>
      <c r="G333" s="5" t="str">
        <f>HYPERLINK("https://siafe.sefaz.ce.gov.br/Siafe/downloadSignature?token=bcba92e4c14b4888a7d1b12fd51a74fc","2026NE000836")</f>
        <v>2026NE000836</v>
      </c>
      <c r="H333" s="6">
        <v>26770</v>
      </c>
      <c r="I333" s="7" t="s">
        <v>21</v>
      </c>
      <c r="J333" s="10" t="s">
        <v>132</v>
      </c>
      <c r="L333" s="13"/>
    </row>
    <row r="334" spans="1:12" ht="102" x14ac:dyDescent="0.25">
      <c r="A334" s="12" t="s">
        <v>111</v>
      </c>
      <c r="B334" s="2" t="s">
        <v>182</v>
      </c>
      <c r="C334" s="3" t="str">
        <f>HYPERLINK("https://transparencia-area-fim.mpce.mp.br/#/consulta/processo/pastadigital/092025000283080","09.2025.00028308-0")</f>
        <v>09.2025.00028308-0</v>
      </c>
      <c r="D334" s="4">
        <v>46129</v>
      </c>
      <c r="E334" s="16" t="s">
        <v>320</v>
      </c>
      <c r="F334" s="2" t="s">
        <v>321</v>
      </c>
      <c r="G334" s="5" t="str">
        <f>HYPERLINK("https://siafe.sefaz.ce.gov.br/Siafe/downloadSignature?token=b7b755338775465bbef2a4383b7e27e9","2026NE000844")</f>
        <v>2026NE000844</v>
      </c>
      <c r="H334" s="6">
        <v>361.38</v>
      </c>
      <c r="I334" s="7" t="s">
        <v>272</v>
      </c>
      <c r="J334" s="10" t="s">
        <v>273</v>
      </c>
    </row>
    <row r="335" spans="1:12" ht="38.25" x14ac:dyDescent="0.25">
      <c r="A335" s="12" t="s">
        <v>122</v>
      </c>
      <c r="B335" s="2" t="s">
        <v>146</v>
      </c>
      <c r="C335" s="3" t="str">
        <f>HYPERLINK("https://transparencia-area-fim.mpce.mp.br/#/consulta/processo/pastadigital/092026000042355","09.2026.00004235-5")</f>
        <v>09.2026.00004235-5</v>
      </c>
      <c r="D335" s="4">
        <v>46198</v>
      </c>
      <c r="E335" s="16" t="str">
        <f>HYPERLINK("https://www8.mpce.mp.br/Empenhos/150001/Objeto/10-2026.pdf","EMPENHO REF. SERVIÇO DE SUPORTE TÉCNICO DA SOLUÇÃO GUARDIÃO WEB-BY NGC, CONF. CONTRATO 010/2026, REF. JUN/2026, POR ESTIMATIVA.")</f>
        <v>EMPENHO REF. SERVIÇO DE SUPORTE TÉCNICO DA SOLUÇÃO GUARDIÃO WEB-BY NGC, CONF. CONTRATO 010/2026, REF. JUN/2026, POR ESTIMATIVA.</v>
      </c>
      <c r="F335" s="2" t="s">
        <v>252</v>
      </c>
      <c r="G335" s="5" t="str">
        <f>HYPERLINK("https://siafe.sefaz.ce.gov.br/Siafe/downloadSignature?token=31cbc1a8202c4b0396fcab4dc165da9c","2026NE000852")</f>
        <v>2026NE000852</v>
      </c>
      <c r="H335" s="6">
        <v>25243.79</v>
      </c>
      <c r="I335" s="7" t="s">
        <v>57</v>
      </c>
      <c r="J335" s="10" t="s">
        <v>253</v>
      </c>
      <c r="L335" s="13"/>
    </row>
    <row r="336" spans="1:12" ht="51" x14ac:dyDescent="0.25">
      <c r="A336" s="12" t="s">
        <v>111</v>
      </c>
      <c r="B336" s="2" t="s">
        <v>151</v>
      </c>
      <c r="C336" s="3" t="str">
        <f>HYPERLINK("https://transparencia-area-fim.mpce.mp.br/#/consulta/processo/pastadigital/092022000081432","09.2022.00008143-2")</f>
        <v>09.2022.00008143-2</v>
      </c>
      <c r="D336" s="4">
        <v>46210</v>
      </c>
      <c r="E336" s="16" t="str">
        <f>HYPERLINK("https://www8.mpce.mp.br/Empenhos/150001/Objeto/16-2022.pdf","EMPENHO REF. ALUGUEL DE IMÓVEL ONDE FUNCIONAM PROMOTORIAS DE JUSTIÇA DA COMARCA DE BARBALHA, CONF. CONTRATO 016/2022, REF. JULHO/AGO 2026, POR ESTIMATIVA.")</f>
        <v>EMPENHO REF. ALUGUEL DE IMÓVEL ONDE FUNCIONAM PROMOTORIAS DE JUSTIÇA DA COMARCA DE BARBALHA, CONF. CONTRATO 016/2022, REF. JULHO/AGO 2026, POR ESTIMATIVA.</v>
      </c>
      <c r="F336" s="2" t="s">
        <v>121</v>
      </c>
      <c r="G336" s="5" t="str">
        <f>HYPERLINK("http://www8.mpce.mp.br/Empenhos/150501/NE/2026NE000872.pdf","2026NE000872")</f>
        <v>2026NE000872</v>
      </c>
      <c r="H336" s="6">
        <v>34686.14</v>
      </c>
      <c r="I336" s="7" t="s">
        <v>20</v>
      </c>
      <c r="J336" s="10" t="s">
        <v>135</v>
      </c>
      <c r="L336" s="13"/>
    </row>
    <row r="337" spans="1:12" ht="51" x14ac:dyDescent="0.25">
      <c r="A337" s="12" t="s">
        <v>111</v>
      </c>
      <c r="B337" s="2" t="s">
        <v>151</v>
      </c>
      <c r="C337" s="3" t="str">
        <f>HYPERLINK("https://transparencia-area-fim.mpce.mp.br/#/consulta/processo/pastadigital/092021000244282","09.2021.00024428-2")</f>
        <v>09.2021.00024428-2</v>
      </c>
      <c r="D337" s="4">
        <v>46210</v>
      </c>
      <c r="E337" s="16" t="str">
        <f>HYPERLINK("https://www8.mpce.mp.br/Empenhos/150001/Objeto/18-2022.pdf","EMPENHO REF. ALUGUEL DE IMÓVEL ONDE FUNCIONAM PROMOTORIAS DE JUSTIÇA DA COMARCA DE CRATEÚS, CONF. CONTRATO 018/2022, REF. JUL/AGO2026, POR ESTIMATIVA.")</f>
        <v>EMPENHO REF. ALUGUEL DE IMÓVEL ONDE FUNCIONAM PROMOTORIAS DE JUSTIÇA DA COMARCA DE CRATEÚS, CONF. CONTRATO 018/2022, REF. JUL/AGO2026, POR ESTIMATIVA.</v>
      </c>
      <c r="F337" s="2" t="s">
        <v>121</v>
      </c>
      <c r="G337" s="5" t="str">
        <f>HYPERLINK("http://www8.mpce.mp.br/Empenhos/150501/NE/2026NE000875.pdf","2026NE000875")</f>
        <v>2026NE000875</v>
      </c>
      <c r="H337" s="6">
        <v>53540</v>
      </c>
      <c r="I337" s="7" t="s">
        <v>21</v>
      </c>
      <c r="J337" s="10" t="s">
        <v>132</v>
      </c>
      <c r="L337" s="13"/>
    </row>
    <row r="338" spans="1:12" ht="76.5" x14ac:dyDescent="0.25">
      <c r="A338" s="12" t="s">
        <v>122</v>
      </c>
      <c r="B338" s="2" t="s">
        <v>146</v>
      </c>
      <c r="C338" s="3" t="str">
        <f>HYPERLINK("https://transparencia-area-fim.mpce.mp.br/#/consulta/processo/pastadigital/092026000105290","09.2026.00010529-0")</f>
        <v>09.2026.00010529-0</v>
      </c>
      <c r="D338" s="4">
        <v>46199</v>
      </c>
      <c r="E338" s="16" t="str">
        <f>HYPERLINK("https://www8.mpce.mp.br/Empenhos/150001/Objeto/26-2026.pdf","(02) DUAS LICENÇAS DE SOFTWARE COM SUPORTE ANUAL INSEYETS ONLINE PARA EXTRAÇÃO AVANÇADA E ANÁLISE DE DADOS A PARTIR DE PLATAFORMAS ELETRÔNICAS PORTÁTEIS PARA UM PERÍODO DE 12 ME"&amp;"SES, COM DISPONIBILIZAÇÃO DO HARDWARES EM COMODATO. CONTRATO 026/2026. ")</f>
        <v xml:space="preserve">(02) DUAS LICENÇAS DE SOFTWARE COM SUPORTE ANUAL INSEYETS ONLINE PARA EXTRAÇÃO AVANÇADA E ANÁLISE DE DADOS A PARTIR DE PLATAFORMAS ELETRÔNICAS PORTÁTEIS PARA UM PERÍODO DE 12 MESES, COM DISPONIBILIZAÇÃO DO HARDWARES EM COMODATO. CONTRATO 026/2026. </v>
      </c>
      <c r="F338" s="2" t="s">
        <v>200</v>
      </c>
      <c r="G338" s="5" t="str">
        <f>HYPERLINK("https://siafe.sefaz.ce.gov.br/Siafe/downloadSignature?token=14c04c3fdbe44cd5a4bb2235f4bf98cd","2026NE000877")</f>
        <v>2026NE000877</v>
      </c>
      <c r="H338" s="6">
        <v>278083.74</v>
      </c>
      <c r="I338" s="7" t="s">
        <v>81</v>
      </c>
      <c r="J338" s="10" t="s">
        <v>278</v>
      </c>
    </row>
    <row r="339" spans="1:12" ht="51" x14ac:dyDescent="0.25">
      <c r="A339" s="12" t="s">
        <v>111</v>
      </c>
      <c r="B339" s="2" t="s">
        <v>151</v>
      </c>
      <c r="C339" s="3" t="str">
        <f>HYPERLINK("https://transparencia-area-fim.mpce.mp.br/#/consulta/processo/pastadigital/092022000343795","09.2022.00034379-5")</f>
        <v>09.2022.00034379-5</v>
      </c>
      <c r="D339" s="4">
        <v>46210</v>
      </c>
      <c r="E339" s="16" t="str">
        <f>HYPERLINK("https://www8.mpce.mp.br/Empenhos/150001/Objeto/25-2023.pdf","EMPENHO REF. ALUGUEL DE IMÓVEL ONDE FUNCIONAM PROMOTORIAS DE JUSTIÇA DA COMARCA DE CANINDÉ, CONF. CONTRATO 025/2023, REF. JULHO/AGO 2026, POR ESTIMATIVA.")</f>
        <v>EMPENHO REF. ALUGUEL DE IMÓVEL ONDE FUNCIONAM PROMOTORIAS DE JUSTIÇA DA COMARCA DE CANINDÉ, CONF. CONTRATO 025/2023, REF. JULHO/AGO 2026, POR ESTIMATIVA.</v>
      </c>
      <c r="F339" s="2" t="s">
        <v>121</v>
      </c>
      <c r="G339" s="5" t="str">
        <f>HYPERLINK("http://www8.mpce.mp.br/Empenhos/150501/NE/2026NE000878.pdf","2026NE000878")</f>
        <v>2026NE000878</v>
      </c>
      <c r="H339" s="6">
        <v>29336</v>
      </c>
      <c r="I339" s="7" t="s">
        <v>93</v>
      </c>
      <c r="J339" s="10" t="s">
        <v>178</v>
      </c>
      <c r="L339" s="13"/>
    </row>
    <row r="340" spans="1:12" ht="51" x14ac:dyDescent="0.25">
      <c r="A340" s="12" t="s">
        <v>111</v>
      </c>
      <c r="B340" s="2" t="s">
        <v>115</v>
      </c>
      <c r="C340" s="3" t="str">
        <f>HYPERLINK("https://transparencia-area-fim.mpce.mp.br/#/consulta/processo/pastadigital/092021000063220","09.2021.00006322-0")</f>
        <v>09.2021.00006322-0</v>
      </c>
      <c r="D340" s="4">
        <v>46210</v>
      </c>
      <c r="E340" s="16" t="str">
        <f>HYPERLINK("https://www8.mpce.mp.br/Empenhos/150001/Objeto/33-2021.pdf","EMPENHO REF. ALUGUEL DE IMÓVEL ONDE FUNCIONAM PROMOTORIAS DE JUSTIÇA DA COMARCA DE SOBRAL, CONF. CONTRATO 033/2021, REF. JULHO/AGO 2026, POR ESTIMATIVA.")</f>
        <v>EMPENHO REF. ALUGUEL DE IMÓVEL ONDE FUNCIONAM PROMOTORIAS DE JUSTIÇA DA COMARCA DE SOBRAL, CONF. CONTRATO 033/2021, REF. JULHO/AGO 2026, POR ESTIMATIVA.</v>
      </c>
      <c r="F340" s="2" t="s">
        <v>121</v>
      </c>
      <c r="G340" s="5" t="str">
        <f>HYPERLINK("http://www8.mpce.mp.br/Empenhos/150501/NE/2026NE000880.pdf","2026NE000880")</f>
        <v>2026NE000880</v>
      </c>
      <c r="H340" s="6">
        <v>72974.960000000006</v>
      </c>
      <c r="I340" s="7" t="s">
        <v>21</v>
      </c>
      <c r="J340" s="10" t="s">
        <v>132</v>
      </c>
      <c r="L340" s="13"/>
    </row>
    <row r="341" spans="1:12" ht="51" x14ac:dyDescent="0.25">
      <c r="A341" s="12" t="s">
        <v>111</v>
      </c>
      <c r="B341" s="2" t="s">
        <v>159</v>
      </c>
      <c r="C341" s="3" t="str">
        <f>HYPERLINK("https://transparencia-area-fim.mpce.mp.br/#/consulta/processo/pastadigital/092023000338541","09.2023.00033854-1")</f>
        <v>09.2023.00033854-1</v>
      </c>
      <c r="D341" s="4">
        <v>46210</v>
      </c>
      <c r="E341" s="16" t="str">
        <f>HYPERLINK("https://www8.mpce.mp.br/Empenhos/150001/Objeto/36-2024.pdf","EMPENHO REF. ALUGUEL DE IMÓVEL ONDE FUNCIONAM PROMOTORIAS DE JUSTIÇA DA COMARCA DE MORADA NOVA, CONF. CONTRATO 036/2024, REF. JULHO/AGO 2026, POR ESTIMATIVA.")</f>
        <v>EMPENHO REF. ALUGUEL DE IMÓVEL ONDE FUNCIONAM PROMOTORIAS DE JUSTIÇA DA COMARCA DE MORADA NOVA, CONF. CONTRATO 036/2024, REF. JULHO/AGO 2026, POR ESTIMATIVA.</v>
      </c>
      <c r="F341" s="2" t="s">
        <v>121</v>
      </c>
      <c r="G341" s="5" t="str">
        <f>HYPERLINK("http://www8.mpce.mp.br/Empenhos/150501/NE/2026NE000881.pdf","2026NE000881")</f>
        <v>2026NE000881</v>
      </c>
      <c r="H341" s="6">
        <v>36998.879999999997</v>
      </c>
      <c r="I341" s="7" t="s">
        <v>27</v>
      </c>
      <c r="J341" s="10" t="s">
        <v>134</v>
      </c>
      <c r="L341" s="13"/>
    </row>
    <row r="342" spans="1:12" ht="51" x14ac:dyDescent="0.25">
      <c r="A342" s="12" t="s">
        <v>111</v>
      </c>
      <c r="B342" s="2" t="s">
        <v>141</v>
      </c>
      <c r="C342" s="3" t="str">
        <f>HYPERLINK("https://transparencia-area-fim.mpce.mp.br/#/consulta/processo/pastadigital/092021000065217","09.2021.00006521-7")</f>
        <v>09.2021.00006521-7</v>
      </c>
      <c r="D342" s="4">
        <v>46210</v>
      </c>
      <c r="E342" s="16" t="str">
        <f>HYPERLINK("https://www8.mpce.mp.br/Empenhos/150001/Objeto/38-2021.pdf","EMPENHO REF. ALUGUEL DE IMÓVEL ONDE FUNCIONAM PROMOTORIAS DE JUSTIÇA DA COMARCA DE TAUÁ, CONF. CONTRATO 038/2021, REF. JULHO/AGO 2026, POR ESTIMATIVA.")</f>
        <v>EMPENHO REF. ALUGUEL DE IMÓVEL ONDE FUNCIONAM PROMOTORIAS DE JUSTIÇA DA COMARCA DE TAUÁ, CONF. CONTRATO 038/2021, REF. JULHO/AGO 2026, POR ESTIMATIVA.</v>
      </c>
      <c r="F342" s="2" t="s">
        <v>121</v>
      </c>
      <c r="G342" s="5" t="str">
        <f>HYPERLINK("http://www8.mpce.mp.br/Empenhos/150501/NE/2026NE000882.pdf","2026NE000882")</f>
        <v>2026NE000882</v>
      </c>
      <c r="H342" s="6">
        <v>39009.599999999999</v>
      </c>
      <c r="I342" s="7" t="s">
        <v>26</v>
      </c>
      <c r="J342" s="10" t="s">
        <v>142</v>
      </c>
      <c r="L342" s="13"/>
    </row>
    <row r="343" spans="1:12" ht="51" x14ac:dyDescent="0.25">
      <c r="A343" s="12" t="s">
        <v>111</v>
      </c>
      <c r="B343" s="2" t="s">
        <v>141</v>
      </c>
      <c r="C343" s="3" t="str">
        <f>HYPERLINK("https://transparencia-area-fim.mpce.mp.br/#/consulta/processo/pastadigital/092021000064195","09.2021.00006419-5")</f>
        <v>09.2021.00006419-5</v>
      </c>
      <c r="D343" s="4">
        <v>46210</v>
      </c>
      <c r="E343" s="16" t="str">
        <f>HYPERLINK("https://www8.mpce.mp.br/Empenhos/150001/Objeto/41-2021.pdf","EMPENHO REF. ALUGUEL DE IMÓVEL ONDE FUNCIONAM PROMOTORIAS DE JUSTIÇA DA COMARCA DE QUIXADÁ, CONF. CONTRATO 041/2021, REF. JULHO/AGO 2026, POR ESTIMATIVA.")</f>
        <v>EMPENHO REF. ALUGUEL DE IMÓVEL ONDE FUNCIONAM PROMOTORIAS DE JUSTIÇA DA COMARCA DE QUIXADÁ, CONF. CONTRATO 041/2021, REF. JULHO/AGO 2026, POR ESTIMATIVA.</v>
      </c>
      <c r="F343" s="2" t="s">
        <v>121</v>
      </c>
      <c r="G343" s="5" t="str">
        <f>HYPERLINK("http://www8.mpce.mp.br/Empenhos/150501/NE/2026NE000883.pdf","2026NE000883")</f>
        <v>2026NE000883</v>
      </c>
      <c r="H343" s="6">
        <v>38726.14</v>
      </c>
      <c r="I343" s="7" t="s">
        <v>144</v>
      </c>
      <c r="J343" s="10" t="s">
        <v>145</v>
      </c>
      <c r="L343" s="13"/>
    </row>
    <row r="344" spans="1:12" ht="51" x14ac:dyDescent="0.25">
      <c r="A344" s="12" t="s">
        <v>111</v>
      </c>
      <c r="B344" s="2" t="s">
        <v>115</v>
      </c>
      <c r="C344" s="3" t="str">
        <f>HYPERLINK("http://www8.mpce.mp.br/Dispensa/1984020196.pdf","19840/2019-6")</f>
        <v>19840/2019-6</v>
      </c>
      <c r="D344" s="4">
        <v>46210</v>
      </c>
      <c r="E344" s="16" t="str">
        <f>HYPERLINK("https://www8.mpce.mp.br/Empenhos/150001/Objeto/48-2019.pdf","EMPENHO REF. ALUGUEL DE IMÓVEL ONDE FUNCIONAM PROMOTORIAS DE JUSTIÇA DA COMARCA DE CAUCAIA, CONF. CONTRATO 048/2019, REF. JULHO/AGO 2026, POR ESTIMATIVA.")</f>
        <v>EMPENHO REF. ALUGUEL DE IMÓVEL ONDE FUNCIONAM PROMOTORIAS DE JUSTIÇA DA COMARCA DE CAUCAIA, CONF. CONTRATO 048/2019, REF. JULHO/AGO 2026, POR ESTIMATIVA.</v>
      </c>
      <c r="F344" s="2" t="s">
        <v>121</v>
      </c>
      <c r="G344" s="5" t="str">
        <f>HYPERLINK("http://www8.mpce.mp.br/Empenhos/150501/NE/2026NE000884.pdf","2026NE000884")</f>
        <v>2026NE000884</v>
      </c>
      <c r="H344" s="6">
        <v>97304.74</v>
      </c>
      <c r="I344" s="7" t="s">
        <v>27</v>
      </c>
      <c r="J344" s="10" t="s">
        <v>134</v>
      </c>
      <c r="L344" s="13"/>
    </row>
    <row r="345" spans="1:12" ht="51" x14ac:dyDescent="0.25">
      <c r="A345" s="12" t="s">
        <v>111</v>
      </c>
      <c r="B345" s="2" t="s">
        <v>115</v>
      </c>
      <c r="C345" s="3" t="str">
        <f>HYPERLINK("https://transparencia-area-fim.mpce.mp.br/#/consulta/processo/pastadigital/092023000338585","09.2023.00033858-5")</f>
        <v>09.2023.00033858-5</v>
      </c>
      <c r="D345" s="4">
        <v>46210</v>
      </c>
      <c r="E345" s="16" t="str">
        <f>HYPERLINK("https://www8.mpce.mp.br/Empenhos/150001/Objeto/62-2024.pdf","EMPENHO REF. ALUGUEL DE IMÓVEL ONDE FUNCIONAM PROMOTORIAS DE JUSTIÇA DA COMARCA DE LIMOEIRO DO NORTE, CONF. CONTRATO 062/2024, REF. JULHO/AGO 2026, POR ESTIMATIVA.")</f>
        <v>EMPENHO REF. ALUGUEL DE IMÓVEL ONDE FUNCIONAM PROMOTORIAS DE JUSTIÇA DA COMARCA DE LIMOEIRO DO NORTE, CONF. CONTRATO 062/2024, REF. JULHO/AGO 2026, POR ESTIMATIVA.</v>
      </c>
      <c r="F345" s="2" t="s">
        <v>121</v>
      </c>
      <c r="G345" s="5" t="str">
        <f>HYPERLINK("https://siafe.sefaz.ce.gov.br/Siafe/downloadSignature?token=d27a841a03094d7798fddc7b636079c8","2026NE000885")</f>
        <v>2026NE000885</v>
      </c>
      <c r="H345" s="6">
        <v>34851.96</v>
      </c>
      <c r="I345" s="7" t="s">
        <v>23</v>
      </c>
      <c r="J345" s="10" t="s">
        <v>136</v>
      </c>
      <c r="L345" s="13"/>
    </row>
    <row r="346" spans="1:12" ht="51" x14ac:dyDescent="0.25">
      <c r="A346" s="12" t="s">
        <v>111</v>
      </c>
      <c r="B346" s="2" t="s">
        <v>115</v>
      </c>
      <c r="C346" s="3" t="str">
        <f>HYPERLINK("https://transparencia-area-fim.mpce.mp.br/#/consulta/processo/pastadigital/092022000197876","09.2022.00019787-6")</f>
        <v>09.2022.00019787-6</v>
      </c>
      <c r="D346" s="4">
        <v>46209</v>
      </c>
      <c r="E346" s="16" t="str">
        <f>HYPERLINK("https://www8.mpce.mp.br/Empenhos/150001/Objeto/02-2023.pdf","EMPENHO REF. ALUGUEL DE IMÓVEL ONDE FUNCIONA O NÚCLEO DE MEDIAÇÃO COMUNITÁRIA DO BOM JARDIM, CONF. CONTRATO 002/2023, REF. JULHO/AGO 2026, POR ESTIMATIVA.")</f>
        <v>EMPENHO REF. ALUGUEL DE IMÓVEL ONDE FUNCIONA O NÚCLEO DE MEDIAÇÃO COMUNITÁRIA DO BOM JARDIM, CONF. CONTRATO 002/2023, REF. JULHO/AGO 2026, POR ESTIMATIVA.</v>
      </c>
      <c r="F346" s="2" t="s">
        <v>121</v>
      </c>
      <c r="G346" s="5" t="str">
        <f>HYPERLINK("https://siafe.sefaz.ce.gov.br/Siafe/downloadSignature?token=29d5ecd55421458494b59192ebf0a27b","2026NE000886")</f>
        <v>2026NE000886</v>
      </c>
      <c r="H346" s="6">
        <v>11200</v>
      </c>
      <c r="I346" s="7" t="s">
        <v>28</v>
      </c>
      <c r="J346" s="10" t="s">
        <v>133</v>
      </c>
      <c r="L346" s="13"/>
    </row>
    <row r="347" spans="1:12" ht="38.25" x14ac:dyDescent="0.25">
      <c r="A347" s="12" t="s">
        <v>122</v>
      </c>
      <c r="B347" s="2" t="s">
        <v>146</v>
      </c>
      <c r="C347" s="3" t="str">
        <f>HYPERLINK("https://transparencia-area-fim.mpce.mp.br/#/consulta/processo/pastadigital/092024000265223","09.2024.00026522-3")</f>
        <v>09.2024.00026522-3</v>
      </c>
      <c r="D347" s="4">
        <v>46210</v>
      </c>
      <c r="E347" s="16" t="str">
        <f>HYPERLINK("https://www8.mpce.mp.br/Empenhos/150001/Objeto/91-2024.pdf","EMPENHO REF. LOCAÇÃO DE IMÓVEL PROMOTORIAS DE JUSTIÇA DA COMARCA DE JAGUARIBE, CONF. CONTRATO Nº 091/2024, REF. JUL/AGO 2026, POR ESTIMATIVA.")</f>
        <v>EMPENHO REF. LOCAÇÃO DE IMÓVEL PROMOTORIAS DE JUSTIÇA DA COMARCA DE JAGUARIBE, CONF. CONTRATO Nº 091/2024, REF. JUL/AGO 2026, POR ESTIMATIVA.</v>
      </c>
      <c r="F347" s="2" t="s">
        <v>113</v>
      </c>
      <c r="G347" s="5" t="str">
        <f>HYPERLINK("https://siafe.sefaz.ce.gov.br/Siafe/downloadSignature?token=327dd7f11b104bb3ba5da97b751498ec","2026NE000902")</f>
        <v>2026NE000902</v>
      </c>
      <c r="H347" s="6">
        <v>6000</v>
      </c>
      <c r="I347" s="7" t="s">
        <v>236</v>
      </c>
      <c r="J347" s="10" t="s">
        <v>237</v>
      </c>
      <c r="L347" s="13"/>
    </row>
    <row r="348" spans="1:12" ht="51" x14ac:dyDescent="0.25">
      <c r="A348" s="12" t="s">
        <v>111</v>
      </c>
      <c r="B348" s="2" t="s">
        <v>151</v>
      </c>
      <c r="C348" s="3" t="str">
        <f>HYPERLINK("http://www8.mpce.mp.br/Dispensa/1955220197.pdf","19552/2019-7")</f>
        <v>19552/2019-7</v>
      </c>
      <c r="D348" s="4">
        <v>46210</v>
      </c>
      <c r="E348" s="16" t="str">
        <f>HYPERLINK("https://www8.mpce.mp.br/Empenhos/150001/Objeto/85-2019.pdf","EMPENHO REF. ALUGUEL DE IMÓVEL ONDE FUNCIONAM PROMOTORIAS DE JUSTIÇA DA COMARCA DE PARAIPABA, CONF. CONTRATO 085/2019, REF. JUL/AGO 2026, POR ESTIMATIVA.")</f>
        <v>EMPENHO REF. ALUGUEL DE IMÓVEL ONDE FUNCIONAM PROMOTORIAS DE JUSTIÇA DA COMARCA DE PARAIPABA, CONF. CONTRATO 085/2019, REF. JUL/AGO 2026, POR ESTIMATIVA.</v>
      </c>
      <c r="F348" s="2" t="s">
        <v>113</v>
      </c>
      <c r="G348" s="5" t="str">
        <f>HYPERLINK("https://siafe.sefaz.ce.gov.br/Siafe/downloadSignature?token=cf617e3a97c84f9888099f487b659334","2026NE000903")</f>
        <v>2026NE000903</v>
      </c>
      <c r="H348" s="6">
        <v>2784.26</v>
      </c>
      <c r="I348" s="7" t="s">
        <v>40</v>
      </c>
      <c r="J348" s="10" t="s">
        <v>166</v>
      </c>
      <c r="L348" s="13"/>
    </row>
    <row r="349" spans="1:12" ht="38.25" x14ac:dyDescent="0.25">
      <c r="A349" s="12" t="s">
        <v>111</v>
      </c>
      <c r="B349" s="2" t="s">
        <v>191</v>
      </c>
      <c r="C349" s="3" t="str">
        <f>HYPERLINK("http://www8.mpce.mp.br/Dispensa/2004820193.pdf","20048/2019-3")</f>
        <v>20048/2019-3</v>
      </c>
      <c r="D349" s="4">
        <v>46209</v>
      </c>
      <c r="E349" s="16" t="str">
        <f>HYPERLINK("https://www8.mpce.mp.br/Empenhos/150001/Objeto/84-2019.pdf","EMPENHO REF. LOCAÇÃO DE IMÓVEL PROMOTORIAS DE JUSTIÇA DA COMARCA DE MOMBAÇA, CONF. CONTRATO Nº 084/2019, REF. JUL/AGO 2026, POR ESTIMATIVA.")</f>
        <v>EMPENHO REF. LOCAÇÃO DE IMÓVEL PROMOTORIAS DE JUSTIÇA DA COMARCA DE MOMBAÇA, CONF. CONTRATO Nº 084/2019, REF. JUL/AGO 2026, POR ESTIMATIVA.</v>
      </c>
      <c r="F349" s="2" t="s">
        <v>113</v>
      </c>
      <c r="G349" s="5" t="str">
        <f>HYPERLINK("https://siafe.sefaz.ce.gov.br/Siafe/downloadSignature?token=832bd83c90de4bedb73fa56f676d15fe","2026NE000904")</f>
        <v>2026NE000904</v>
      </c>
      <c r="H349" s="6">
        <v>8506.52</v>
      </c>
      <c r="I349" s="7" t="s">
        <v>41</v>
      </c>
      <c r="J349" s="10" t="s">
        <v>194</v>
      </c>
      <c r="L349" s="13"/>
    </row>
    <row r="350" spans="1:12" ht="51" x14ac:dyDescent="0.25">
      <c r="A350" s="12" t="s">
        <v>111</v>
      </c>
      <c r="B350" s="2" t="s">
        <v>115</v>
      </c>
      <c r="C350" s="3" t="str">
        <f>HYPERLINK("http://www8.mpce.mp.br/Dispensa/4503020176.pdf","45030/2017-6")</f>
        <v>45030/2017-6</v>
      </c>
      <c r="D350" s="4">
        <v>46209</v>
      </c>
      <c r="E350" s="16" t="str">
        <f>HYPERLINK("https://www8.mpce.mp.br/Empenhos/150001/Objeto/74-2019.pdf","EMPENHO REF. ALUGUEL DE IMÓVEL QUE ABRIGA PROMOTORIAS DE JUSTIÇA DA COMARCA DE GRANJA-CE, CONF. CONTRATO 074/2019, REF. JUL/AGO 2026, POR ESTIMATIVA.")</f>
        <v>EMPENHO REF. ALUGUEL DE IMÓVEL QUE ABRIGA PROMOTORIAS DE JUSTIÇA DA COMARCA DE GRANJA-CE, CONF. CONTRATO 074/2019, REF. JUL/AGO 2026, POR ESTIMATIVA.</v>
      </c>
      <c r="F350" s="2" t="s">
        <v>113</v>
      </c>
      <c r="G350" s="5" t="str">
        <f>HYPERLINK("https://siafe.sefaz.ce.gov.br/Siafe/downloadSignature?token=806eefc341474e3b8b81076c902da374","2026NE000905")</f>
        <v>2026NE000905</v>
      </c>
      <c r="H350" s="6">
        <v>4671.28</v>
      </c>
      <c r="I350" s="7" t="s">
        <v>88</v>
      </c>
      <c r="J350" s="10" t="s">
        <v>118</v>
      </c>
      <c r="L350" s="13"/>
    </row>
    <row r="351" spans="1:12" ht="51" x14ac:dyDescent="0.25">
      <c r="A351" s="12" t="s">
        <v>111</v>
      </c>
      <c r="B351" s="2" t="s">
        <v>115</v>
      </c>
      <c r="C351" s="3" t="str">
        <f>HYPERLINK("http://www8.mpce.mp.br/Dispensa/2150720189.pdf","21507/2018-9")</f>
        <v>21507/2018-9</v>
      </c>
      <c r="D351" s="4">
        <v>46209</v>
      </c>
      <c r="E351" s="16" t="str">
        <f>HYPERLINK("https://www8.mpce.mp.br/Empenhos/150001/Objeto/51-2019.pdf","EMPENHO REF. ALUGUEL DE IMÓVEL QUE ABRIGA PROMOTORIAS DE JUSTIÇA DA COMARCA DE  VIÇOSA DO CEARÁ, CONF. CONTRATO 051/2019, REF. JUL/AGO2026, POR ESTIMATIVA.")</f>
        <v>EMPENHO REF. ALUGUEL DE IMÓVEL QUE ABRIGA PROMOTORIAS DE JUSTIÇA DA COMARCA DE  VIÇOSA DO CEARÁ, CONF. CONTRATO 051/2019, REF. JUL/AGO2026, POR ESTIMATIVA.</v>
      </c>
      <c r="F351" s="2" t="s">
        <v>113</v>
      </c>
      <c r="G351" s="5" t="str">
        <f>HYPERLINK("https://siafe.sefaz.ce.gov.br/Siafe/downloadSignature?token=9d937bd286be437a9312f95d1a5eff42","2026NE000906")</f>
        <v>2026NE000906</v>
      </c>
      <c r="H351" s="6">
        <v>6307.18</v>
      </c>
      <c r="I351" s="7" t="s">
        <v>90</v>
      </c>
      <c r="J351" s="10" t="s">
        <v>116</v>
      </c>
      <c r="L351" s="13"/>
    </row>
    <row r="352" spans="1:12" ht="51" x14ac:dyDescent="0.25">
      <c r="A352" s="12" t="s">
        <v>111</v>
      </c>
      <c r="B352" s="2" t="s">
        <v>115</v>
      </c>
      <c r="C352" s="3" t="str">
        <f>HYPERLINK("https://transparencia-area-fim.mpce.mp.br/#/consulta/processo/pastadigital/092021000219739","09.2021.00021973-9")</f>
        <v>09.2021.00021973-9</v>
      </c>
      <c r="D352" s="4">
        <v>46210</v>
      </c>
      <c r="E352" s="16" t="str">
        <f>HYPERLINK("https://www8.mpce.mp.br/Empenhos/150001/Objeto/45-2021.pdf","EMPENHO REF. TAXAS CONDOMINIAIS ONDE FUNCIONAM PROMOTORIAS DE JUSTIÇA DA COMARCA DE EUSÉBIO, CONF. CONTRATO 045/2021, REF. JULHO/AGO 2026, POR ESTIMATIVA.")</f>
        <v>EMPENHO REF. TAXAS CONDOMINIAIS ONDE FUNCIONAM PROMOTORIAS DE JUSTIÇA DA COMARCA DE EUSÉBIO, CONF. CONTRATO 045/2021, REF. JULHO/AGO 2026, POR ESTIMATIVA.</v>
      </c>
      <c r="F352" s="2" t="s">
        <v>119</v>
      </c>
      <c r="G352" s="5" t="str">
        <f>HYPERLINK("https://siafe.sefaz.ce.gov.br/Siafe/downloadSignature?token=8c4405c262114dce92e2769e59251d5a","2026NE000908")</f>
        <v>2026NE000908</v>
      </c>
      <c r="H352" s="6">
        <v>1136.72</v>
      </c>
      <c r="I352" s="7" t="s">
        <v>42</v>
      </c>
      <c r="J352" s="10" t="s">
        <v>120</v>
      </c>
      <c r="L352" s="13"/>
    </row>
    <row r="353" spans="1:12" ht="51" x14ac:dyDescent="0.25">
      <c r="A353" s="12" t="s">
        <v>122</v>
      </c>
      <c r="B353" s="2" t="s">
        <v>146</v>
      </c>
      <c r="C353" s="3" t="str">
        <f>HYPERLINK("https://transparencia-area-fim.mpce.mp.br/#/consulta/processo/pastadigital/092025000026529","09.2025.00002652-9")</f>
        <v>09.2025.00002652-9</v>
      </c>
      <c r="D353" s="4">
        <v>46209</v>
      </c>
      <c r="E353" s="16" t="str">
        <f>HYPERLINK("https://www8.mpce.mp.br/Empenhos/150001/Objeto/33-2025.pdf","EMPENHO REF. ALUGUEL DE IMÓVEL ONDE FUNCIONAM PROMOTORIAS DE JUSTIÇA DA COMARCA DE JIJOCA DE JERICOACOARA, CONF. CONTRATO 033/2025, REF. JUL/AGO 2026, POR ESTIMATIVA.")</f>
        <v>EMPENHO REF. ALUGUEL DE IMÓVEL ONDE FUNCIONAM PROMOTORIAS DE JUSTIÇA DA COMARCA DE JIJOCA DE JERICOACOARA, CONF. CONTRATO 033/2025, REF. JUL/AGO 2026, POR ESTIMATIVA.</v>
      </c>
      <c r="F353" s="2" t="s">
        <v>113</v>
      </c>
      <c r="G353" s="5" t="str">
        <f>HYPERLINK("https://siafe.sefaz.ce.gov.br/Siafe/downloadSignature?token=e59c09d385b743c2b5ae809eef25c5d4","2026NE000909")</f>
        <v>2026NE000909</v>
      </c>
      <c r="H353" s="6">
        <v>10000</v>
      </c>
      <c r="I353" s="7" t="s">
        <v>148</v>
      </c>
      <c r="J353" s="10" t="s">
        <v>149</v>
      </c>
      <c r="L353" s="13"/>
    </row>
    <row r="354" spans="1:12" ht="51" x14ac:dyDescent="0.25">
      <c r="A354" s="12" t="s">
        <v>111</v>
      </c>
      <c r="B354" s="2" t="s">
        <v>115</v>
      </c>
      <c r="C354" s="3" t="str">
        <f>HYPERLINK("https://transparencia-area-fim.mpce.mp.br/#/consulta/processo/pastadigital/092021000121226","09.2021.00012122-6")</f>
        <v>09.2021.00012122-6</v>
      </c>
      <c r="D354" s="4">
        <v>46209</v>
      </c>
      <c r="E354" s="16" t="str">
        <f>HYPERLINK("https://www8.mpce.mp.br/Empenhos/150001/Objeto/34-2021.pdf","EMPENHO REF. ALUGUEL DE IMÓVEL ONDE FUNCIONAM PROMOTORIAS DE JUSTIÇA DA COMARCA DE SÃO BENEDITO, CONF. CONTRATO 034/2021, REF. JUL/AGO 2026, POR ESTIMATIVA.")</f>
        <v>EMPENHO REF. ALUGUEL DE IMÓVEL ONDE FUNCIONAM PROMOTORIAS DE JUSTIÇA DA COMARCA DE SÃO BENEDITO, CONF. CONTRATO 034/2021, REF. JUL/AGO 2026, POR ESTIMATIVA.</v>
      </c>
      <c r="F354" s="2" t="s">
        <v>113</v>
      </c>
      <c r="G354" s="5" t="str">
        <f>HYPERLINK("https://siafe.sefaz.ce.gov.br/Siafe/downloadSignature?token=54be2851299d4be69d8349f64b35693e","2026NE000910")</f>
        <v>2026NE000910</v>
      </c>
      <c r="H354" s="6">
        <v>5646.54</v>
      </c>
      <c r="I354" s="7" t="s">
        <v>37</v>
      </c>
      <c r="J354" s="10" t="s">
        <v>128</v>
      </c>
      <c r="L354" s="13"/>
    </row>
    <row r="355" spans="1:12" ht="51" x14ac:dyDescent="0.25">
      <c r="A355" s="12" t="s">
        <v>111</v>
      </c>
      <c r="B355" s="2" t="s">
        <v>115</v>
      </c>
      <c r="C355" s="3" t="str">
        <f>HYPERLINK("https://transparencia-area-fim.mpce.mp.br/#/consulta/processo/pastadigital/092022000276145","09.2022.00027614-5")</f>
        <v>09.2022.00027614-5</v>
      </c>
      <c r="D355" s="4">
        <v>46210</v>
      </c>
      <c r="E355" s="16" t="str">
        <f>HYPERLINK("https://www8.mpce.mp.br/Empenhos/150001/Objeto/36-2022.pdf","EMPENHO REF. ALUGUEL DE IMÓVEL ONDE FUNCIONAM PROMOTORIAS DE JUSTIÇA DA COMARCA DE ARARIPE, CONF. CONTRATO 036/2022, REF. JUL/AGO 2026, POR ESTIMATIVA.")</f>
        <v>EMPENHO REF. ALUGUEL DE IMÓVEL ONDE FUNCIONAM PROMOTORIAS DE JUSTIÇA DA COMARCA DE ARARIPE, CONF. CONTRATO 036/2022, REF. JUL/AGO 2026, POR ESTIMATIVA.</v>
      </c>
      <c r="F355" s="2" t="s">
        <v>113</v>
      </c>
      <c r="G355" s="5" t="str">
        <f>HYPERLINK("https://siafe.sefaz.ce.gov.br/Siafe/downloadSignature?token=85f55670dfe546f2910b90afb07045b1","2026NE000911")</f>
        <v>2026NE000911</v>
      </c>
      <c r="H355" s="6">
        <v>3000</v>
      </c>
      <c r="I355" s="7" t="s">
        <v>31</v>
      </c>
      <c r="J355" s="10" t="s">
        <v>127</v>
      </c>
      <c r="L355" s="13"/>
    </row>
    <row r="356" spans="1:12" ht="51" x14ac:dyDescent="0.25">
      <c r="A356" s="12" t="s">
        <v>122</v>
      </c>
      <c r="B356" s="2" t="s">
        <v>146</v>
      </c>
      <c r="C356" s="3" t="str">
        <f>HYPERLINK("https://transparencia-area-fim.mpce.mp.br/#/consulta/processo/pastadigital/092022000083885","09.2022.00008388-5")</f>
        <v>09.2022.00008388-5</v>
      </c>
      <c r="D356" s="4">
        <v>46210</v>
      </c>
      <c r="E356" s="16" t="str">
        <f>HYPERLINK("https://www8.mpce.mp.br/Empenhos/150001/Objeto/36-2023.pdf","EMPENHO REF. ALUGUEL DE IMÓVEL QUE ABRIGA PROMOTORIAS DE JUSTIÇA DA COMARCA DE SOLONÓPOLE, CONF. CONTRATO 036/2023, REF. JUL/AGO 2026, POR ESTIMATIVA.")</f>
        <v>EMPENHO REF. ALUGUEL DE IMÓVEL QUE ABRIGA PROMOTORIAS DE JUSTIÇA DA COMARCA DE SOLONÓPOLE, CONF. CONTRATO 036/2023, REF. JUL/AGO 2026, POR ESTIMATIVA.</v>
      </c>
      <c r="F356" s="2" t="s">
        <v>113</v>
      </c>
      <c r="G356" s="5" t="str">
        <f>HYPERLINK("https://siafe.sefaz.ce.gov.br/Siafe/downloadSignature?token=3224625517a84a32b3392d06fb4a6ce1","2026NE000912")</f>
        <v>2026NE000912</v>
      </c>
      <c r="H356" s="6">
        <v>8209.1200000000008</v>
      </c>
      <c r="I356" s="7" t="s">
        <v>48</v>
      </c>
      <c r="J356" s="10" t="s">
        <v>147</v>
      </c>
      <c r="L356" s="13"/>
    </row>
    <row r="357" spans="1:12" ht="38.25" x14ac:dyDescent="0.25">
      <c r="A357" s="12" t="s">
        <v>111</v>
      </c>
      <c r="B357" s="2" t="s">
        <v>191</v>
      </c>
      <c r="C357" s="3" t="str">
        <f>HYPERLINK("https://transparencia-area-fim.mpce.mp.br/#/consulta/processo/pastadigital/092022000110511","09.2022.00011051-1")</f>
        <v>09.2022.00011051-1</v>
      </c>
      <c r="D357" s="4">
        <v>46210</v>
      </c>
      <c r="E357" s="16" t="str">
        <f>HYPERLINK("https://www8.mpce.mp.br/Empenhos/150001/Objeto/38-2022.pdf","EMPENHO REF. LOCAÇÃO DE IMÓVEL (PROMOTORIAS DE JUSTIÇA DA COMARCA DE NOVA OLINDA, CONF. CONTRATO Nº 038/2022, REF. JUL/AGO 2026, POR ESTIMATIVA.")</f>
        <v>EMPENHO REF. LOCAÇÃO DE IMÓVEL (PROMOTORIAS DE JUSTIÇA DA COMARCA DE NOVA OLINDA, CONF. CONTRATO Nº 038/2022, REF. JUL/AGO 2026, POR ESTIMATIVA.</v>
      </c>
      <c r="F357" s="2" t="s">
        <v>113</v>
      </c>
      <c r="G357" s="5" t="str">
        <f>HYPERLINK("https://siafe.sefaz.ce.gov.br/Siafe/downloadSignature?token=ce53cc526d7d4a1581f895b9dc9e42ad","2026NE000913")</f>
        <v>2026NE000913</v>
      </c>
      <c r="H357" s="6">
        <v>4112.8999999999996</v>
      </c>
      <c r="I357" s="7" t="s">
        <v>46</v>
      </c>
      <c r="J357" s="10" t="s">
        <v>192</v>
      </c>
      <c r="L357" s="13"/>
    </row>
    <row r="358" spans="1:12" ht="38.25" x14ac:dyDescent="0.25">
      <c r="A358" s="12" t="s">
        <v>111</v>
      </c>
      <c r="B358" s="2" t="s">
        <v>115</v>
      </c>
      <c r="C358" s="3" t="str">
        <f>HYPERLINK("http://www8.mpce.mp.br/Dispensa/146020136.pdf","1460/2013-6")</f>
        <v>1460/2013-6</v>
      </c>
      <c r="D358" s="4">
        <v>46209</v>
      </c>
      <c r="E358" s="16" t="str">
        <f>HYPERLINK("https://www8.mpce.mp.br/Empenhos/150001/Objeto/39-2013.pdf","EMPENHO REF. ALUGUEL ONDE FUNCIONAM PROMOTORIAS DE JUSTIÇA DA COMARCA DE CASCAVEL-CE, CONF. CONTRATO 039/2013, REF. JUL/AGO 2026, POR ESTIMATIVA.")</f>
        <v>EMPENHO REF. ALUGUEL ONDE FUNCIONAM PROMOTORIAS DE JUSTIÇA DA COMARCA DE CASCAVEL-CE, CONF. CONTRATO 039/2013, REF. JUL/AGO 2026, POR ESTIMATIVA.</v>
      </c>
      <c r="F358" s="2" t="s">
        <v>113</v>
      </c>
      <c r="G358" s="5" t="str">
        <f>HYPERLINK("https://siafe.sefaz.ce.gov.br/Siafe/downloadSignature?token=8ce1ae76f3764b299f399fa678091afd","2026NE000914")</f>
        <v>2026NE000914</v>
      </c>
      <c r="H358" s="6">
        <v>8683.1200000000008</v>
      </c>
      <c r="I358" s="7" t="s">
        <v>83</v>
      </c>
      <c r="J358" s="10" t="s">
        <v>143</v>
      </c>
      <c r="L358" s="13"/>
    </row>
    <row r="359" spans="1:12" ht="38.25" x14ac:dyDescent="0.25">
      <c r="A359" s="12" t="s">
        <v>122</v>
      </c>
      <c r="B359" s="2" t="s">
        <v>123</v>
      </c>
      <c r="C359" s="3" t="str">
        <f>HYPERLINK("https://transparencia-area-fim.mpce.mp.br/#/consulta/processo/pastadigital/092022000371847","09.2022.00037184-7")</f>
        <v>09.2022.00037184-7</v>
      </c>
      <c r="D359" s="4">
        <v>46206</v>
      </c>
      <c r="E359" s="16" t="str">
        <f>HYPERLINK("https://www8.mpce.mp.br/Empenhos/150001/Objeto/44-2023.pdf","EMPENHO REF. ALUGUEL DE IMÓVEL ONDE FUNCIONAM PROMOTORIAS DE JUSTIÇA DA COMARCA DE MARCO, CONF. CONTRATO 033/2022, REF. JUL/2026, POR ESTIMATIVA.")</f>
        <v>EMPENHO REF. ALUGUEL DE IMÓVEL ONDE FUNCIONAM PROMOTORIAS DE JUSTIÇA DA COMARCA DE MARCO, CONF. CONTRATO 033/2022, REF. JUL/2026, POR ESTIMATIVA.</v>
      </c>
      <c r="F359" s="2" t="s">
        <v>113</v>
      </c>
      <c r="G359" s="5" t="str">
        <f>HYPERLINK("https://siafe.sefaz.ce.gov.br/Siafe/downloadSignature?token=e3745e62f15049fb9b96fa975dd2215c","2026NE000915")</f>
        <v>2026NE000915</v>
      </c>
      <c r="H359" s="6">
        <v>2400</v>
      </c>
      <c r="I359" s="7" t="s">
        <v>43</v>
      </c>
      <c r="J359" s="10" t="s">
        <v>124</v>
      </c>
      <c r="L359" s="13"/>
    </row>
    <row r="360" spans="1:12" ht="51" x14ac:dyDescent="0.25">
      <c r="A360" s="12" t="s">
        <v>122</v>
      </c>
      <c r="B360" s="2" t="s">
        <v>125</v>
      </c>
      <c r="C360" s="3" t="str">
        <f>HYPERLINK("https://transparencia-area-fim.mpce.mp.br/#/consulta/processo/pastadigital/092024000173970","09.2024.00017397-0")</f>
        <v>09.2024.00017397-0</v>
      </c>
      <c r="D360" s="4">
        <v>46206</v>
      </c>
      <c r="E360" s="16" t="str">
        <f>HYPERLINK("https://www8.mpce.mp.br/Empenhos/150001/Objeto/44-2024.pdf","EMPENHO REF. ALUGUEL DE IMÓVEL ONDE FUNCIONAM PROMOTORIAS DE JUSTIÇA DA COMARCA DE ACARAÚ-CE, CONF. CONTRATO 044/2024, REF. JUL/MAI 2026, POR ESTIMATIVA.")</f>
        <v>EMPENHO REF. ALUGUEL DE IMÓVEL ONDE FUNCIONAM PROMOTORIAS DE JUSTIÇA DA COMARCA DE ACARAÚ-CE, CONF. CONTRATO 044/2024, REF. JUL/MAI 2026, POR ESTIMATIVA.</v>
      </c>
      <c r="F360" s="2" t="s">
        <v>121</v>
      </c>
      <c r="G360" s="5" t="str">
        <f>HYPERLINK("https://siafe.sefaz.ce.gov.br/Siafe/downloadSignature?token=f25686a1e7ac47baa8e958d27fb6fa37","2026NE000916")</f>
        <v>2026NE000916</v>
      </c>
      <c r="H360" s="6">
        <v>6807.76</v>
      </c>
      <c r="I360" s="7" t="s">
        <v>47</v>
      </c>
      <c r="J360" s="10" t="s">
        <v>140</v>
      </c>
      <c r="L360" s="13"/>
    </row>
    <row r="361" spans="1:12" ht="51" x14ac:dyDescent="0.25">
      <c r="A361" s="12" t="s">
        <v>111</v>
      </c>
      <c r="B361" s="2" t="s">
        <v>151</v>
      </c>
      <c r="C361" s="3" t="str">
        <f>HYPERLINK("http://www8.mpce.mp.br/Dispensa/575920103.pdf","5759/2010-3")</f>
        <v>5759/2010-3</v>
      </c>
      <c r="D361" s="4">
        <v>46206</v>
      </c>
      <c r="E361" s="16" t="str">
        <f>HYPERLINK("https://www8.mpce.mp.br/Empenhos/150001/Objeto/22-2010.pdf","EMPENHO REF. ALUGUEL DE IMÓVEL ONDE FUNCIONAM PROMOTORIAS DE JUSTIÇA DA COMARCA DE GUAIÚBA, CONF. CONTRATO 022/2010, REF. JULHO/AGO 2026, POR ESTIMATIVA.")</f>
        <v>EMPENHO REF. ALUGUEL DE IMÓVEL ONDE FUNCIONAM PROMOTORIAS DE JUSTIÇA DA COMARCA DE GUAIÚBA, CONF. CONTRATO 022/2010, REF. JULHO/AGO 2026, POR ESTIMATIVA.</v>
      </c>
      <c r="F361" s="2" t="s">
        <v>113</v>
      </c>
      <c r="G361" s="5" t="str">
        <f>HYPERLINK("https://siafe.sefaz.ce.gov.br/Siafe/downloadSignature?token=8fd12de047be4fc2b99ccf5f99ee19c5","2026NE000917")</f>
        <v>2026NE000917</v>
      </c>
      <c r="H361" s="6">
        <v>4911.88</v>
      </c>
      <c r="I361" s="7" t="s">
        <v>82</v>
      </c>
      <c r="J361" s="10" t="s">
        <v>153</v>
      </c>
    </row>
    <row r="362" spans="1:12" ht="51" x14ac:dyDescent="0.25">
      <c r="A362" s="12" t="s">
        <v>111</v>
      </c>
      <c r="B362" s="2" t="s">
        <v>115</v>
      </c>
      <c r="C362" s="3" t="str">
        <f>HYPERLINK("https://transparencia-area-fim.mpce.mp.br/#/consulta/processo/pastadigital/092021000219739","09.2021.00021973-9")</f>
        <v>09.2021.00021973-9</v>
      </c>
      <c r="D362" s="4">
        <v>46206</v>
      </c>
      <c r="E362" s="16" t="str">
        <f>HYPERLINK("https://www8.mpce.mp.br/Empenhos/150001/Objeto/45-2021.pdf","EMPENHO REF. ALUGUEL DE IMÓVEL ONDE FUNCIONAM PROMOTORIAS DE JUSTIÇA DA COMARCA DE EUSÉBIO, CONF. CONTRATO 045/2021, REF. JULH/AGO 2026, POR ESTIMATIVA.")</f>
        <v>EMPENHO REF. ALUGUEL DE IMÓVEL ONDE FUNCIONAM PROMOTORIAS DE JUSTIÇA DA COMARCA DE EUSÉBIO, CONF. CONTRATO 045/2021, REF. JULH/AGO 2026, POR ESTIMATIVA.</v>
      </c>
      <c r="F362" s="2" t="s">
        <v>121</v>
      </c>
      <c r="G362" s="5" t="str">
        <f>HYPERLINK("https://siafe.sefaz.ce.gov.br/Siafe/downloadSignature?token=19be3dbca4614ba99148402280e65e1a","2026NE000918")</f>
        <v>2026NE000918</v>
      </c>
      <c r="H362" s="6">
        <v>3495.5</v>
      </c>
      <c r="I362" s="7" t="s">
        <v>42</v>
      </c>
      <c r="J362" s="10" t="s">
        <v>120</v>
      </c>
    </row>
    <row r="363" spans="1:12" ht="38.25" x14ac:dyDescent="0.25">
      <c r="A363" s="12" t="s">
        <v>111</v>
      </c>
      <c r="B363" s="2" t="s">
        <v>115</v>
      </c>
      <c r="C363" s="3" t="str">
        <f>HYPERLINK("http://www8.mpce.mp.br/Dispensa/6795020160.pdf","6795020160")</f>
        <v>6795020160</v>
      </c>
      <c r="D363" s="4">
        <v>46206</v>
      </c>
      <c r="E363" s="16" t="str">
        <f>HYPERLINK("https://www8.mpce.mp.br/Empenhos/150001/Objeto/08-2017.pdf","EMPENHO REF. ALUGUEL DE IMÓVEL ONDE FUNCIONAM PROMOTORIAS DE JUSTIÇA DA COMARCA DE JARDIM, CONF. CONTRATO 008/2017, REF. JUL/AGO 2026, POR ESTIMATIVA.")</f>
        <v>EMPENHO REF. ALUGUEL DE IMÓVEL ONDE FUNCIONAM PROMOTORIAS DE JUSTIÇA DA COMARCA DE JARDIM, CONF. CONTRATO 008/2017, REF. JUL/AGO 2026, POR ESTIMATIVA.</v>
      </c>
      <c r="F363" s="2" t="s">
        <v>113</v>
      </c>
      <c r="G363" s="5" t="str">
        <f>HYPERLINK("https://siafe.sefaz.ce.gov.br/Siafe/downloadSignature?token=211b57daf9a44fedbee1a3865841987d","2026NE000919")</f>
        <v>2026NE000919</v>
      </c>
      <c r="H363" s="6">
        <v>1474.86</v>
      </c>
      <c r="I363" s="7" t="s">
        <v>91</v>
      </c>
      <c r="J363" s="10" t="s">
        <v>129</v>
      </c>
      <c r="L363" s="13"/>
    </row>
    <row r="364" spans="1:12" ht="38.25" x14ac:dyDescent="0.25">
      <c r="A364" s="12" t="s">
        <v>122</v>
      </c>
      <c r="B364" s="2" t="s">
        <v>123</v>
      </c>
      <c r="C364" s="3" t="str">
        <f>HYPERLINK("https://transparencia-area-fim.mpce.mp.br/#/consulta/processo/pastadigital/092022000426227","09.2022.00042622-7")</f>
        <v>09.2022.00042622-7</v>
      </c>
      <c r="D364" s="4">
        <v>46206</v>
      </c>
      <c r="E364" s="16" t="str">
        <f>HYPERLINK("https://www8.mpce.mp.br/Empenhos/150001/Objeto/33-2023.pdf","EMPENHO REF. ALUGUEL DE IMÓVEL ONDE FUNCIONAM PROMOTORIAS DE JUSTIÇA DA COMARCA DE JUCÁS, CONF. CONTRATO 033/2023, REF. JUL/AGO 2026, POR ESTIMATIVA.")</f>
        <v>EMPENHO REF. ALUGUEL DE IMÓVEL ONDE FUNCIONAM PROMOTORIAS DE JUSTIÇA DA COMARCA DE JUCÁS, CONF. CONTRATO 033/2023, REF. JUL/AGO 2026, POR ESTIMATIVA.</v>
      </c>
      <c r="F364" s="2" t="s">
        <v>113</v>
      </c>
      <c r="G364" s="5" t="str">
        <f>HYPERLINK("https://siafe.sefaz.ce.gov.br/Siafe/downloadSignature?token=24a03b04d3b54c6c81255ffb9a013ec4","2026NE000920")</f>
        <v>2026NE000920</v>
      </c>
      <c r="H364" s="6">
        <v>5219.34</v>
      </c>
      <c r="I364" s="7" t="s">
        <v>45</v>
      </c>
      <c r="J364" s="10" t="s">
        <v>150</v>
      </c>
      <c r="L364" s="13"/>
    </row>
    <row r="365" spans="1:12" ht="38.25" x14ac:dyDescent="0.25">
      <c r="A365" s="12" t="s">
        <v>122</v>
      </c>
      <c r="B365" s="2" t="s">
        <v>146</v>
      </c>
      <c r="C365" s="3" t="str">
        <f>HYPERLINK("https://transparencia-area-fim.mpce.mp.br/#/consulta/processo/pastadigital/092024000240032","09.2024.00024003-2")</f>
        <v>09.2024.00024003-2</v>
      </c>
      <c r="D365" s="4">
        <v>46206</v>
      </c>
      <c r="E365" s="16" t="str">
        <f>HYPERLINK("https://www8.mpce.mp.br/Empenhos/150001/Objeto/93-2024.pdf","EMPENHO REF. ALUGUEL DE IMÓVEL ONDE FUNCIONAM PROMOTORIAS DE JUSTIÇA DA COMARCA DE IPU, CONF. CONTRATO 093/2024, REF. JUL/AGO 2026, POR ESTIMATIVA.")</f>
        <v>EMPENHO REF. ALUGUEL DE IMÓVEL ONDE FUNCIONAM PROMOTORIAS DE JUSTIÇA DA COMARCA DE IPU, CONF. CONTRATO 093/2024, REF. JUL/AGO 2026, POR ESTIMATIVA.</v>
      </c>
      <c r="F365" s="2" t="s">
        <v>113</v>
      </c>
      <c r="G365" s="5" t="str">
        <f>HYPERLINK("https://siafe.sefaz.ce.gov.br/Siafe/downloadSignature?token=5fa55531643448f4b1b94994cd7be62c","2026NE000921")</f>
        <v>2026NE000921</v>
      </c>
      <c r="H365" s="6">
        <v>7634</v>
      </c>
      <c r="I365" s="7" t="s">
        <v>167</v>
      </c>
      <c r="J365" s="10" t="s">
        <v>168</v>
      </c>
      <c r="L365" s="13"/>
    </row>
    <row r="366" spans="1:12" ht="51" x14ac:dyDescent="0.25">
      <c r="A366" s="12" t="s">
        <v>111</v>
      </c>
      <c r="B366" s="2" t="s">
        <v>115</v>
      </c>
      <c r="C366" s="3" t="str">
        <f>HYPERLINK("https://transparencia-area-fim.mpce.mp.br/#/consulta/processo/pastadigital/092021000047808","09.2021.00004780-8")</f>
        <v>09.2021.00004780-8</v>
      </c>
      <c r="D366" s="4">
        <v>46206</v>
      </c>
      <c r="E366" s="16" t="str">
        <f>HYPERLINK("https://www8.mpce.mp.br/Empenhos/150001/Objeto/25-2021.pdf","EMPENHO REF. ALUGUEL DE IMÓVEL ONDE FUNCIONAM PROMOTORIAS DE JUSTIÇA DA COMARCA DE ALTO SANTO, CONF. CONTRATO 025/2021, REF. JUL/AGO/2026, POR ESTIMATIVA.")</f>
        <v>EMPENHO REF. ALUGUEL DE IMÓVEL ONDE FUNCIONAM PROMOTORIAS DE JUSTIÇA DA COMARCA DE ALTO SANTO, CONF. CONTRATO 025/2021, REF. JUL/AGO/2026, POR ESTIMATIVA.</v>
      </c>
      <c r="F366" s="2" t="s">
        <v>113</v>
      </c>
      <c r="G366" s="5" t="str">
        <f>HYPERLINK("https://siafe.sefaz.ce.gov.br/Siafe/downloadSignature?token=a707f2f30a1a416fa855bd9d595a9ecf","2026NE000923")</f>
        <v>2026NE000923</v>
      </c>
      <c r="H366" s="6">
        <v>3302.3</v>
      </c>
      <c r="I366" s="7" t="s">
        <v>130</v>
      </c>
      <c r="J366" s="10" t="s">
        <v>131</v>
      </c>
    </row>
    <row r="367" spans="1:12" ht="51" x14ac:dyDescent="0.25">
      <c r="A367" s="12" t="s">
        <v>111</v>
      </c>
      <c r="B367" s="2" t="s">
        <v>151</v>
      </c>
      <c r="C367" s="3" t="str">
        <f>HYPERLINK("https://transparencia-area-fim.mpce.mp.br/#/consulta/processo/pastadigital/092021000166790","09.2021.00016679-0")</f>
        <v>09.2021.00016679-0</v>
      </c>
      <c r="D367" s="4">
        <v>46206</v>
      </c>
      <c r="E367" s="16" t="str">
        <f>HYPERLINK("https://www8.mpce.mp.br/Empenhos/150001/Objeto/24-2022.pdf","EMPENHO REF. ALUGUEL DE IMÓVEL ONDE FUNCIONAM PROMOTORIAS DE JUSTIÇA DA COMARCA DE HORIZONTE, CONF. CONTRATO 024/2022, REF. JUL/AGO 2026, POR ESTIMATIVA.")</f>
        <v>EMPENHO REF. ALUGUEL DE IMÓVEL ONDE FUNCIONAM PROMOTORIAS DE JUSTIÇA DA COMARCA DE HORIZONTE, CONF. CONTRATO 024/2022, REF. JUL/AGO 2026, POR ESTIMATIVA.</v>
      </c>
      <c r="F367" s="2" t="s">
        <v>113</v>
      </c>
      <c r="G367" s="5" t="str">
        <f>HYPERLINK("https://siafe.sefaz.ce.gov.br/Siafe/downloadSignature?token=5872e022fbc64c5d892f4e0bf30837c0","2026NE000924")</f>
        <v>2026NE000924</v>
      </c>
      <c r="H367" s="6">
        <v>5003.3999999999996</v>
      </c>
      <c r="I367" s="7" t="s">
        <v>35</v>
      </c>
      <c r="J367" s="10" t="s">
        <v>152</v>
      </c>
    </row>
    <row r="368" spans="1:12" ht="51" x14ac:dyDescent="0.25">
      <c r="A368" s="12" t="s">
        <v>111</v>
      </c>
      <c r="B368" s="2" t="s">
        <v>112</v>
      </c>
      <c r="C368" s="3" t="str">
        <f>HYPERLINK("https://transparencia-area-fim.mpce.mp.br/#/consulta/processo/pastadigital/092022000091296","09.2022.00009129-6")</f>
        <v>09.2022.00009129-6</v>
      </c>
      <c r="D368" s="4">
        <v>46206</v>
      </c>
      <c r="E368" s="16" t="str">
        <f>HYPERLINK("https://www8.mpce.mp.br/Empenhos/150001/Objeto/33-2022.pdf","EMPENHO REF. ALUGUEL DE IMÓVEL ONDE FUNCIONAM PROMOTORIAS DE JUSTIÇA DA COMARCA DE VÁRZEA ALEGRE, CONF. CONTRATO 033/2022, REF. JUL/AGO 2026, POR ESTIMATIVA.")</f>
        <v>EMPENHO REF. ALUGUEL DE IMÓVEL ONDE FUNCIONAM PROMOTORIAS DE JUSTIÇA DA COMARCA DE VÁRZEA ALEGRE, CONF. CONTRATO 033/2022, REF. JUL/AGO 2026, POR ESTIMATIVA.</v>
      </c>
      <c r="F368" s="2" t="s">
        <v>113</v>
      </c>
      <c r="G368" s="5" t="str">
        <f>HYPERLINK("https://siafe.sefaz.ce.gov.br/Siafe/downloadSignature?token=4b0e0ccb32d94dabad834153e3b5d4c8","2026NE000925")</f>
        <v>2026NE000925</v>
      </c>
      <c r="H368" s="6">
        <v>1717.96</v>
      </c>
      <c r="I368" s="7" t="s">
        <v>32</v>
      </c>
      <c r="J368" s="10" t="s">
        <v>114</v>
      </c>
      <c r="L368" s="13"/>
    </row>
    <row r="369" spans="1:12" ht="51" x14ac:dyDescent="0.25">
      <c r="A369" s="12" t="s">
        <v>122</v>
      </c>
      <c r="B369" s="2" t="s">
        <v>146</v>
      </c>
      <c r="C369" s="3" t="str">
        <f>HYPERLINK("https://transparencia-area-fim.mpce.mp.br/#/consulta/processo/pastadigital/092024000115580","09.2024.00011558-0")</f>
        <v>09.2024.00011558-0</v>
      </c>
      <c r="D369" s="4">
        <v>46206</v>
      </c>
      <c r="E369" s="16" t="str">
        <f>HYPERLINK("https://www8.mpce.mp.br/Empenhos/150001/Objeto/16-2025.pdf","EMPENHO REF. ALUGUEL DE IMÓVEL ONDE FUNCIONAM PROMOTORIAS DE JUSTIÇA DA COMARCA DE NOVA RUSSAS, CONF. CONTRATO 016/2025, REF. JUL/AGO 2026, POR ESTIMATIVA.")</f>
        <v>EMPENHO REF. ALUGUEL DE IMÓVEL ONDE FUNCIONAM PROMOTORIAS DE JUSTIÇA DA COMARCA DE NOVA RUSSAS, CONF. CONTRATO 016/2025, REF. JUL/AGO 2026, POR ESTIMATIVA.</v>
      </c>
      <c r="F369" s="2" t="s">
        <v>113</v>
      </c>
      <c r="G369" s="5" t="str">
        <f>HYPERLINK("https://siafe.sefaz.ce.gov.br/Siafe/downloadSignature?token=93bd0d402e5a481384389aeed42f1a4e","2026NE000926")</f>
        <v>2026NE000926</v>
      </c>
      <c r="H369" s="6">
        <v>6553.96</v>
      </c>
      <c r="I369" s="7" t="s">
        <v>172</v>
      </c>
      <c r="J369" s="10" t="s">
        <v>173</v>
      </c>
      <c r="L369" s="13"/>
    </row>
    <row r="370" spans="1:12" ht="38.25" x14ac:dyDescent="0.25">
      <c r="A370" s="12" t="s">
        <v>111</v>
      </c>
      <c r="B370" s="2" t="s">
        <v>115</v>
      </c>
      <c r="C370" s="3" t="str">
        <f>HYPERLINK("https://transparencia-area-fim.mpce.mp.br/#/consulta/processo/pastadigital/092021000079244","09.2021.00007924-4")</f>
        <v>09.2021.00007924-4</v>
      </c>
      <c r="D370" s="4">
        <v>46206</v>
      </c>
      <c r="E370" s="16" t="str">
        <f>HYPERLINK("https://www8.mpce.mp.br/Empenhos/150001/Objeto/27-2021.pdf","EMPENHO REF. TAXA CONDOMINIAL ONDE FUNCIONAM PROMOTORIAS DE JUSTIÇA DA COMARCA DE EUSÉBIO, CONF. CONTRATO 027/2021, REF. JUL/2026, POR ESTIMATIVA.")</f>
        <v>EMPENHO REF. TAXA CONDOMINIAL ONDE FUNCIONAM PROMOTORIAS DE JUSTIÇA DA COMARCA DE EUSÉBIO, CONF. CONTRATO 027/2021, REF. JUL/2026, POR ESTIMATIVA.</v>
      </c>
      <c r="F370" s="2" t="s">
        <v>119</v>
      </c>
      <c r="G370" s="5" t="str">
        <f>HYPERLINK("https://siafe.sefaz.ce.gov.br/Siafe/downloadSignature?token=2f85b39883184632abd4b5cb78e18736","2026NE000927")</f>
        <v>2026NE000927</v>
      </c>
      <c r="H370" s="6">
        <v>1828.11</v>
      </c>
      <c r="I370" s="7" t="s">
        <v>42</v>
      </c>
      <c r="J370" s="10" t="s">
        <v>120</v>
      </c>
      <c r="L370" s="13"/>
    </row>
    <row r="371" spans="1:12" ht="51" x14ac:dyDescent="0.25">
      <c r="A371" s="12" t="s">
        <v>111</v>
      </c>
      <c r="B371" s="2" t="s">
        <v>158</v>
      </c>
      <c r="C371" s="3" t="str">
        <f>HYPERLINK("https://transparencia-area-fim.mpce.mp.br/#/consulta/processo/pastadigital/092021000155016","09.2021.00015501-6")</f>
        <v>09.2021.00015501-6</v>
      </c>
      <c r="D371" s="4">
        <v>46206</v>
      </c>
      <c r="E371" s="16" t="str">
        <f>HYPERLINK("https://www8.mpce.mp.br/Empenhos/150001/Objeto/26-2021.pdf","EMPENHO REF. ALUGUEL DE IMÓVEL ONDE FUNCIONAM PROMOTORIAS DE JUSTIÇA DA COMARCA DE BREJO SANTO, CONF. CONTRATO 026/2021, REF. JUL/AGO 2026, POR ESTIMATIVA.")</f>
        <v>EMPENHO REF. ALUGUEL DE IMÓVEL ONDE FUNCIONAM PROMOTORIAS DE JUSTIÇA DA COMARCA DE BREJO SANTO, CONF. CONTRATO 026/2021, REF. JUL/AGO 2026, POR ESTIMATIVA.</v>
      </c>
      <c r="F371" s="2" t="s">
        <v>113</v>
      </c>
      <c r="G371" s="5" t="str">
        <f>HYPERLINK("https://siafe.sefaz.ce.gov.br/Siafe/downloadSignature?token=b64ee131e3924defa94d6fb7b867f5b0","2026NE000928")</f>
        <v>2026NE000928</v>
      </c>
      <c r="H371" s="6">
        <v>5203.1000000000004</v>
      </c>
      <c r="I371" s="7" t="s">
        <v>38</v>
      </c>
      <c r="J371" s="10" t="s">
        <v>179</v>
      </c>
      <c r="L371" s="13"/>
    </row>
    <row r="372" spans="1:12" ht="51" x14ac:dyDescent="0.25">
      <c r="A372" s="12" t="s">
        <v>111</v>
      </c>
      <c r="B372" s="2" t="s">
        <v>158</v>
      </c>
      <c r="C372" s="3" t="str">
        <f>HYPERLINK("https://transparencia-area-fim.mpce.mp.br/#/consulta/processo/pastadigital/092022000264193","09.2022.00026419-3")</f>
        <v>09.2022.00026419-3</v>
      </c>
      <c r="D372" s="4">
        <v>46206</v>
      </c>
      <c r="E372" s="16" t="str">
        <f>HYPERLINK("https://www8.mpce.mp.br/Empenhos/150001/Objeto/28-2022.pdf","EMPENHO REF. ALUGUEL DE IMÓVEL ONDE FUNCIONAM PROMOTORIAS DE JUSTIÇA DA COMARCA DE AURORA, CONF. CONTRATO 028/2022, REF. JUL/AGO2026, POR ESTIMATIVA.")</f>
        <v>EMPENHO REF. ALUGUEL DE IMÓVEL ONDE FUNCIONAM PROMOTORIAS DE JUSTIÇA DA COMARCA DE AURORA, CONF. CONTRATO 028/2022, REF. JUL/AGO2026, POR ESTIMATIVA.</v>
      </c>
      <c r="F372" s="2" t="s">
        <v>113</v>
      </c>
      <c r="G372" s="5" t="str">
        <f>HYPERLINK("https://siafe.sefaz.ce.gov.br/Siafe/downloadSignature?token=0fb9e3e070294f3ca7caed7d04dde37b","2026NE000929")</f>
        <v>2026NE000929</v>
      </c>
      <c r="H372" s="6">
        <v>4166.3999999999996</v>
      </c>
      <c r="I372" s="7" t="s">
        <v>180</v>
      </c>
      <c r="J372" s="10" t="s">
        <v>181</v>
      </c>
      <c r="L372" s="13"/>
    </row>
    <row r="373" spans="1:12" ht="51" x14ac:dyDescent="0.25">
      <c r="A373" s="12" t="s">
        <v>111</v>
      </c>
      <c r="B373" s="2" t="s">
        <v>115</v>
      </c>
      <c r="C373" s="3" t="str">
        <f>HYPERLINK("https://transparencia-area-fim.mpce.mp.br/#/consulta/processo/pastadigital/092021000079244","09.2021.00007924-4")</f>
        <v>09.2021.00007924-4</v>
      </c>
      <c r="D373" s="4">
        <v>46206</v>
      </c>
      <c r="E373" s="16" t="str">
        <f>HYPERLINK("https://www8.mpce.mp.br/Empenhos/150001/Objeto/27-2021.pdf","EMPENHO REF. ALUGUEL DE IMÓVEL ONDE FUNCIONAM PROMOTORIAS DE JUSTIÇA DA COMARCA DE EUSÉBIO, CONF. CONTRATO 027/2021, REF. JUL/AGO 2026, POR ESTIMATIVA.")</f>
        <v>EMPENHO REF. ALUGUEL DE IMÓVEL ONDE FUNCIONAM PROMOTORIAS DE JUSTIÇA DA COMARCA DE EUSÉBIO, CONF. CONTRATO 027/2021, REF. JUL/AGO 2026, POR ESTIMATIVA.</v>
      </c>
      <c r="F373" s="2" t="s">
        <v>121</v>
      </c>
      <c r="G373" s="5" t="str">
        <f>HYPERLINK("https://siafe.sefaz.ce.gov.br/Siafe/downloadSignature?token=39da9f6c325948699311e3622ea74305","2026NE000930")</f>
        <v>2026NE000930</v>
      </c>
      <c r="H373" s="6">
        <v>11861.28</v>
      </c>
      <c r="I373" s="7" t="s">
        <v>42</v>
      </c>
      <c r="J373" s="10" t="s">
        <v>120</v>
      </c>
      <c r="L373" s="13"/>
    </row>
    <row r="374" spans="1:12" ht="51" x14ac:dyDescent="0.25">
      <c r="A374" s="12" t="s">
        <v>111</v>
      </c>
      <c r="B374" s="2" t="s">
        <v>115</v>
      </c>
      <c r="C374" s="3" t="str">
        <f>HYPERLINK("http://www8.mpce.mp.br/Dispensa/1984020196.pdf","19840/2019-6")</f>
        <v>19840/2019-6</v>
      </c>
      <c r="D374" s="4">
        <v>46205</v>
      </c>
      <c r="E374" s="16" t="str">
        <f>HYPERLINK("https://www8.mpce.mp.br/Empenhos/150001/Objeto/48-2019.pdf","EMPENHO REF. ALUGUEL DE IMÓVEL ONDE FUNCIONAM PROMOTORIAS DE JUSTIÇA DA COMARCA DE CAUCAIA, CONF. CONTRATO 048/2019, REF. IPTU/2026, POR ESTIMATIVA.")</f>
        <v>EMPENHO REF. ALUGUEL DE IMÓVEL ONDE FUNCIONAM PROMOTORIAS DE JUSTIÇA DA COMARCA DE CAUCAIA, CONF. CONTRATO 048/2019, REF. IPTU/2026, POR ESTIMATIVA.</v>
      </c>
      <c r="F374" s="2" t="s">
        <v>289</v>
      </c>
      <c r="G374" s="5" t="str">
        <f>HYPERLINK("https://siafe.sefaz.ce.gov.br/Siafe/downloadSignature?token=1909816dd45745d6a4e5b0510f138bec","2026NE000935")</f>
        <v>2026NE000935</v>
      </c>
      <c r="H374" s="6">
        <v>10520.42</v>
      </c>
      <c r="I374" s="7" t="s">
        <v>27</v>
      </c>
      <c r="J374" s="10" t="s">
        <v>134</v>
      </c>
      <c r="L374" s="13"/>
    </row>
    <row r="375" spans="1:12" ht="38.25" x14ac:dyDescent="0.25">
      <c r="A375" s="12" t="s">
        <v>111</v>
      </c>
      <c r="B375" s="2" t="s">
        <v>159</v>
      </c>
      <c r="C375" s="3" t="str">
        <f>HYPERLINK("https://transparencia-area-fim.mpce.mp.br/#/consulta/processo/pastadigital/092026000174300","09.2026.00017430-0")</f>
        <v>09.2026.00017430-0</v>
      </c>
      <c r="D375" s="4">
        <v>46205</v>
      </c>
      <c r="E375" s="16" t="s">
        <v>343</v>
      </c>
      <c r="F375" s="2" t="s">
        <v>279</v>
      </c>
      <c r="G375" s="5" t="str">
        <f>HYPERLINK("https://siafe.sefaz.ce.gov.br/Siafe/downloadSignature?token=8978f594b8cf4aa886c42e5662064317","2026NE000937")</f>
        <v>2026NE000937</v>
      </c>
      <c r="H375" s="6">
        <v>60000</v>
      </c>
      <c r="I375" s="7" t="s">
        <v>50</v>
      </c>
      <c r="J375" s="10" t="s">
        <v>184</v>
      </c>
      <c r="L375" s="13"/>
    </row>
    <row r="376" spans="1:12" ht="45" x14ac:dyDescent="0.25">
      <c r="A376" s="12" t="s">
        <v>111</v>
      </c>
      <c r="B376" s="2" t="s">
        <v>115</v>
      </c>
      <c r="C376" s="3" t="str">
        <f>HYPERLINK("https://transparencia-area-fim.mpce.mp.br/#/consulta/processo/pastadigital/092021000121226","09.2021.00012122-6")</f>
        <v>09.2021.00012122-6</v>
      </c>
      <c r="D376" s="4">
        <v>46206</v>
      </c>
      <c r="E376" s="17" t="str">
        <f>HYPERLINK("https://www8.mpce.mp.br/Empenhos/150001/Objeto/34-2021.pdf","EMPENHO REF. IPTU DE IMÓVEL ONDE FUNCIONAM PROMOTORIAS DE JUSTIÇA DA COMARCA DE SÃO BENEDITO, CONF. CONTRATO 034/2021, REF. IPTU/2026, POR ESTIMATIVA.")</f>
        <v>EMPENHO REF. IPTU DE IMÓVEL ONDE FUNCIONAM PROMOTORIAS DE JUSTIÇA DA COMARCA DE SÃO BENEDITO, CONF. CONTRATO 034/2021, REF. IPTU/2026, POR ESTIMATIVA.</v>
      </c>
      <c r="F376" s="2" t="s">
        <v>342</v>
      </c>
      <c r="G376" s="5" t="str">
        <f>HYPERLINK("https://siafe.sefaz.ce.gov.br/Siafe/downloadSignature?token=aef487c05a134c59b1f974d6f3edeeb3","2026NE000938")</f>
        <v>2026NE000938</v>
      </c>
      <c r="H376" s="6">
        <v>346.39</v>
      </c>
      <c r="I376" s="7" t="s">
        <v>37</v>
      </c>
      <c r="J376" s="10" t="s">
        <v>128</v>
      </c>
      <c r="L376" s="13"/>
    </row>
    <row r="377" spans="1:12" ht="60" x14ac:dyDescent="0.25">
      <c r="A377" s="12" t="s">
        <v>122</v>
      </c>
      <c r="B377" s="2" t="s">
        <v>199</v>
      </c>
      <c r="C377" s="3" t="str">
        <f>HYPERLINK("https://transparencia-area-fim.mpce.mp.br/#/consulta/processo/pastadigital/092024000189230","09.2024.00018923-0")</f>
        <v>09.2024.00018923-0</v>
      </c>
      <c r="D377" s="4">
        <v>46141</v>
      </c>
      <c r="E377" s="17" t="str">
        <f>HYPERLINK("https://www8.mpce.mp.br/Empenhos/150001/Objeto/84-2024.pdf","EMPENHO REF. FORNECIMENTO DE ENERGIA NA MODALIDADE TARIFÁRIA DE BAIXA TENSÃO GRUPO B 380/220V, CONF. CONTRATO 084/2024, REF. ABR, MAI E JUN/2026, POR ESTIMATIVA.")</f>
        <v>EMPENHO REF. FORNECIMENTO DE ENERGIA NA MODALIDADE TARIFÁRIA DE BAIXA TENSÃO GRUPO B 380/220V, CONF. CONTRATO 084/2024, REF. ABR, MAI E JUN/2026, POR ESTIMATIVA.</v>
      </c>
      <c r="F377" s="2" t="s">
        <v>228</v>
      </c>
      <c r="G377" s="5" t="str">
        <f>HYPERLINK("https://siafe.sefaz.ce.gov.br/Siafe/downloadSignature?token=934e42b30ba64487ab17dec3844e42ba","2026NE000957")</f>
        <v>2026NE000957</v>
      </c>
      <c r="H377" s="6">
        <v>300000</v>
      </c>
      <c r="I377" s="7" t="s">
        <v>229</v>
      </c>
      <c r="J377" s="10" t="s">
        <v>230</v>
      </c>
      <c r="L377" s="13"/>
    </row>
    <row r="378" spans="1:12" ht="63.75" x14ac:dyDescent="0.25">
      <c r="A378" s="12" t="s">
        <v>111</v>
      </c>
      <c r="B378" s="2" t="s">
        <v>327</v>
      </c>
      <c r="C378" s="3" t="str">
        <f>HYPERLINK("https://transparencia-area-fim.mpce.mp.br/#/consulta/processo/pastadigital/092026000150320","09.2026.00015032-0")</f>
        <v>09.2026.00015032-0</v>
      </c>
      <c r="D378" s="4">
        <v>46154</v>
      </c>
      <c r="E378" s="16" t="s">
        <v>328</v>
      </c>
      <c r="F378" s="2" t="s">
        <v>329</v>
      </c>
      <c r="G378" s="5" t="str">
        <f>HYPERLINK("https://siafe.sefaz.ce.gov.br/Siafe/downloadSignature?token=41f991f1ab8c4f7690b416b6080b14d0","2026NE001051")</f>
        <v>2026NE001051</v>
      </c>
      <c r="H378" s="6">
        <v>1200</v>
      </c>
      <c r="I378" s="7" t="s">
        <v>330</v>
      </c>
      <c r="J378" s="10" t="s">
        <v>331</v>
      </c>
    </row>
    <row r="379" spans="1:12" ht="165" x14ac:dyDescent="0.25">
      <c r="A379" s="12" t="s">
        <v>122</v>
      </c>
      <c r="B379" s="2" t="s">
        <v>146</v>
      </c>
      <c r="C379" s="3" t="str">
        <f>HYPERLINK("https://transparencia-area-fim.mpce.mp.br/#/consulta/processo/pastadigital/092026000151330","09.2026.00015133-0")</f>
        <v>09.2026.00015133-0</v>
      </c>
      <c r="D379" s="4">
        <v>46155</v>
      </c>
      <c r="E379" s="17" t="s">
        <v>332</v>
      </c>
      <c r="F379" s="2" t="s">
        <v>254</v>
      </c>
      <c r="G379" s="5" t="str">
        <f>HYPERLINK("https://siafe.sefaz.ce.gov.br/Siafe/downloadSignature?token=756d07324f7a4aae9a4bb99c9b40241f","2026NE001069")</f>
        <v>2026NE001069</v>
      </c>
      <c r="H379" s="6">
        <v>9280</v>
      </c>
      <c r="I379" s="7" t="s">
        <v>333</v>
      </c>
      <c r="J379" s="10" t="s">
        <v>334</v>
      </c>
      <c r="L379" s="13"/>
    </row>
    <row r="380" spans="1:12" ht="140.25" x14ac:dyDescent="0.25">
      <c r="A380" s="12" t="s">
        <v>122</v>
      </c>
      <c r="B380" s="2" t="s">
        <v>293</v>
      </c>
      <c r="C380" s="3" t="str">
        <f>HYPERLINK("https://transparencia-area-fim.mpce.mp.br/#/consulta/processo/pastadigital/092026000159665","09.2026.00015966-5")</f>
        <v>09.2026.00015966-5</v>
      </c>
      <c r="D380" s="4">
        <v>46161</v>
      </c>
      <c r="E380" s="16" t="s">
        <v>335</v>
      </c>
      <c r="F380" s="2" t="s">
        <v>254</v>
      </c>
      <c r="G380" s="5" t="str">
        <f>HYPERLINK("https://siafe.sefaz.ce.gov.br/Siafe/downloadSignature?token=31a58ecaf838412ab7dca60030ade55f","2026NE001155")</f>
        <v>2026NE001155</v>
      </c>
      <c r="H380" s="6">
        <v>7000</v>
      </c>
      <c r="I380" s="7" t="s">
        <v>336</v>
      </c>
      <c r="J380" s="10" t="s">
        <v>337</v>
      </c>
      <c r="L380" s="13"/>
    </row>
    <row r="381" spans="1:12" ht="114.75" x14ac:dyDescent="0.25">
      <c r="A381" s="12" t="s">
        <v>122</v>
      </c>
      <c r="B381" s="2" t="s">
        <v>344</v>
      </c>
      <c r="C381" s="3" t="str">
        <f>HYPERLINK("https://transparencia-area-fim.mpce.mp.br/#/consulta/processo/pastadigital/092026000091546","09.2026.00009154-6")</f>
        <v>09.2026.00009154-6</v>
      </c>
      <c r="D381" s="4">
        <v>46181</v>
      </c>
      <c r="E381" s="16" t="s">
        <v>345</v>
      </c>
      <c r="F381" s="2" t="s">
        <v>254</v>
      </c>
      <c r="G381" s="5" t="str">
        <f>HYPERLINK("https://siafe.sefaz.ce.gov.br/Siafe/downloadSignature?token=d1724fb664574b9ea4f0dddb8f194762","2026NE001178")</f>
        <v>2026NE001178</v>
      </c>
      <c r="H381" s="6">
        <v>50000</v>
      </c>
      <c r="I381" s="7" t="s">
        <v>346</v>
      </c>
      <c r="J381" s="10" t="s">
        <v>347</v>
      </c>
    </row>
    <row r="382" spans="1:12" ht="76.5" x14ac:dyDescent="0.25">
      <c r="A382" s="12" t="s">
        <v>111</v>
      </c>
      <c r="B382" s="2" t="s">
        <v>301</v>
      </c>
      <c r="C382" s="3" t="str">
        <f>HYPERLINK("https://transparencia-area-fim.mpce.mp.br/#/consulta/processo/pastadigital/092026000049826","09.2026.00004982-6")</f>
        <v>09.2026.00004982-6</v>
      </c>
      <c r="D382" s="4">
        <v>46183</v>
      </c>
      <c r="E382" s="16" t="s">
        <v>348</v>
      </c>
      <c r="F382" s="2" t="s">
        <v>303</v>
      </c>
      <c r="G382" s="5" t="str">
        <f>HYPERLINK("https://siafe.sefaz.ce.gov.br/Siafe/downloadSignature?token=c9df1bacfd0f40ba8634b27e9b1bab09","2026NE001331")</f>
        <v>2026NE001331</v>
      </c>
      <c r="H382" s="6">
        <v>26380.02</v>
      </c>
      <c r="I382" s="7" t="s">
        <v>349</v>
      </c>
      <c r="J382" s="10" t="s">
        <v>350</v>
      </c>
      <c r="L382" s="13"/>
    </row>
    <row r="383" spans="1:12" ht="127.5" x14ac:dyDescent="0.25">
      <c r="A383" s="12" t="s">
        <v>122</v>
      </c>
      <c r="B383" s="2" t="s">
        <v>351</v>
      </c>
      <c r="C383" s="3" t="str">
        <f>HYPERLINK("https://transparencia-area-fim.mpce.mp.br/#/consulta/processo/pastadigital/092026000138204","09.2026.00013820-4")</f>
        <v>09.2026.00013820-4</v>
      </c>
      <c r="D383" s="4">
        <v>46184</v>
      </c>
      <c r="E383" s="16" t="str">
        <f>HYPERLINK("https://www8.mpce.mp.br/Empenhos/150001/Objeto/17-2026.pdf","EMPENHO REF. SERVIÇO DE ELABORAÇÃO DE ESTUDO DE SINALIZAÇÃO SEMAFÓRICA E ANÁLISE TÉCNICA DE CONTROLE DE TRÁFEGO, COM ANÁLISE DAS CONDIÇÕES DE SEGURANÇA VIÁRIA, AVALIAÇÃO DE RISC"&amp;"OS, EXAME TÉCNICO DA VIABILIDADE DE IMPLANTAÇÃO DE DISPOSITIVOS DE SEGURANÇA E EMISSÃO DE ESTUDO TÉCNICO CONCLUSIVO, COM PRAZO DE EXECUÇÃO DE 40 (QUARENTA) DIAS, CONTADOS A PARTIR DA EMISSÃO DA ORDEM DE SERVIÇO, POR INEXIGIBILIDADE DE LICITAÇÃO, CONF"&amp;". CONF. CONTRATO 017/2026.")</f>
        <v>EMPENHO REF. SERVIÇO DE ELABORAÇÃO DE ESTUDO DE SINALIZAÇÃO SEMAFÓRICA E ANÁLISE TÉCNICA DE CONTROLE DE TRÁFEGO, COM ANÁLISE DAS CONDIÇÕES DE SEGURANÇA VIÁRIA, AVALIAÇÃO DE RISCOS, EXAME TÉCNICO DA VIABILIDADE DE IMPLANTAÇÃO DE DISPOSITIVOS DE SEGURANÇA E EMISSÃO DE ESTUDO TÉCNICO CONCLUSIVO, COM PRAZO DE EXECUÇÃO DE 40 (QUARENTA) DIAS, CONTADOS A PARTIR DA EMISSÃO DA ORDEM DE SERVIÇO, POR INEXIGIBILIDADE DE LICITAÇÃO, CONF. CONF. CONTRATO 017/2026.</v>
      </c>
      <c r="F383" s="2" t="s">
        <v>352</v>
      </c>
      <c r="G383" s="5" t="str">
        <f>HYPERLINK("https://siafe.sefaz.ce.gov.br/Siafe/downloadSignature?token=5e33a72547074b039a94412cbde8248b","2026NE001334")</f>
        <v>2026NE001334</v>
      </c>
      <c r="H383" s="6">
        <v>1620.66</v>
      </c>
      <c r="I383" s="7" t="s">
        <v>353</v>
      </c>
      <c r="J383" s="10" t="s">
        <v>354</v>
      </c>
      <c r="L383" s="13"/>
    </row>
    <row r="384" spans="1:12" ht="51" x14ac:dyDescent="0.25">
      <c r="A384" s="12" t="s">
        <v>122</v>
      </c>
      <c r="B384" s="2" t="s">
        <v>355</v>
      </c>
      <c r="C384" s="3" t="str">
        <f>HYPERLINK("https://transparencia-area-fim.mpce.mp.br/#/consulta/processo/pastadigital/092026000111260","09.2026.00011126-0")</f>
        <v>09.2026.00011126-0</v>
      </c>
      <c r="D384" s="4">
        <v>46184</v>
      </c>
      <c r="E384" s="16" t="s">
        <v>356</v>
      </c>
      <c r="F384" s="2" t="s">
        <v>274</v>
      </c>
      <c r="G384" s="5" t="str">
        <f>HYPERLINK("https://siafe.sefaz.ce.gov.br/Siafe/downloadSignature?token=eb03dacdf24b488397bd84f9d4e39143","2026NE001336")</f>
        <v>2026NE001336</v>
      </c>
      <c r="H384" s="6">
        <v>930</v>
      </c>
      <c r="I384" s="7" t="s">
        <v>259</v>
      </c>
      <c r="J384" s="10" t="s">
        <v>260</v>
      </c>
      <c r="L384" s="13"/>
    </row>
    <row r="385" spans="1:12" ht="38.25" x14ac:dyDescent="0.25">
      <c r="A385" s="12" t="s">
        <v>122</v>
      </c>
      <c r="B385" s="2" t="s">
        <v>146</v>
      </c>
      <c r="C385" s="3" t="str">
        <f>HYPERLINK("https://transparencia-area-fim.mpce.mp.br/#/consulta/processo/pastadigital/092025000011803","09.2025.00001180-3")</f>
        <v>09.2025.00001180-3</v>
      </c>
      <c r="D385" s="4">
        <v>46190</v>
      </c>
      <c r="E385" s="16" t="str">
        <f>HYPERLINK("https://www8.mpce.mp.br/Empenhos/150001/Objeto/15-2025.pdf","EMPENHO REF. SOLICITAÇÃO DE CONSUMO DA ARP 015/2025 - MEDIA E SPEAKER TRAININ - ENGAJA, REF. EXERCÍCIO DE 2026, POR ESTIMATIVA.")</f>
        <v>EMPENHO REF. SOLICITAÇÃO DE CONSUMO DA ARP 015/2025 - MEDIA E SPEAKER TRAININ - ENGAJA, REF. EXERCÍCIO DE 2026, POR ESTIMATIVA.</v>
      </c>
      <c r="F385" s="2" t="s">
        <v>254</v>
      </c>
      <c r="G385" s="5" t="str">
        <f>HYPERLINK("https://siafe.sefaz.ce.gov.br/Siafe/downloadSignature?token=7981d9d2608e48709a6f1c11471ca840","2026NE001368")</f>
        <v>2026NE001368</v>
      </c>
      <c r="H385" s="6">
        <v>75360</v>
      </c>
      <c r="I385" s="7" t="s">
        <v>357</v>
      </c>
      <c r="J385" s="10" t="s">
        <v>358</v>
      </c>
      <c r="L385" s="13"/>
    </row>
    <row r="386" spans="1:12" ht="76.5" x14ac:dyDescent="0.25">
      <c r="A386" s="12" t="s">
        <v>111</v>
      </c>
      <c r="B386" s="2" t="s">
        <v>269</v>
      </c>
      <c r="C386" s="3" t="str">
        <f>HYPERLINK("https://transparencia-area-fim.mpce.mp.br/#/consulta/processo/pastadigital/092025000305769","09.2025.00030576-9")</f>
        <v>09.2025.00030576-9</v>
      </c>
      <c r="D386" s="4">
        <v>46191</v>
      </c>
      <c r="E386" s="16" t="str">
        <f>HYPERLINK("https://www8.mpce.mp.br/Empenhos/150001/Objeto/19-2026.pdf","EMPENHO REF. SEGURO R.E.T.A. PARA DRONES, PELO PERÍODO DE 12 MESES, ABRANGENDO OS EQUIPAMENTOS VINCULADOS AO NATI E AO NUSIT, DESTINADOS A ATIVIDADES TÉCNICAS, PERICIAIS, DE INT"&amp;"ELIGÊNCIA E APOIO A INVESTIGAÇÕES INSTITUCIONAIS, CONF. CONTRATO 019/2026, REF. 2026 - PARCELA ÚNICA.")</f>
        <v>EMPENHO REF. SEGURO R.E.T.A. PARA DRONES, PELO PERÍODO DE 12 MESES, ABRANGENDO OS EQUIPAMENTOS VINCULADOS AO NATI E AO NUSIT, DESTINADOS A ATIVIDADES TÉCNICAS, PERICIAIS, DE INTELIGÊNCIA E APOIO A INVESTIGAÇÕES INSTITUCIONAIS, CONF. CONTRATO 019/2026, REF. 2026 - PARCELA ÚNICA.</v>
      </c>
      <c r="F386" s="2" t="s">
        <v>197</v>
      </c>
      <c r="G386" s="5" t="str">
        <f>HYPERLINK("https://siafe.sefaz.ce.gov.br/Siafe/downloadSignature?token=768d4829d98a4486af4b4ef794094f97","2026NE001390")</f>
        <v>2026NE001390</v>
      </c>
      <c r="H386" s="6">
        <v>1200</v>
      </c>
      <c r="I386" s="7" t="s">
        <v>359</v>
      </c>
      <c r="J386" s="10" t="s">
        <v>360</v>
      </c>
      <c r="L386" s="13"/>
    </row>
    <row r="387" spans="1:12" ht="127.5" x14ac:dyDescent="0.25">
      <c r="A387" s="12" t="s">
        <v>122</v>
      </c>
      <c r="B387" s="2" t="s">
        <v>361</v>
      </c>
      <c r="C387" s="3" t="str">
        <f>HYPERLINK("https://transparencia-area-fim.mpce.mp.br/#/consulta/processo/pastadigital/092026000137705","09.2026.00013770-5")</f>
        <v>09.2026.00013770-5</v>
      </c>
      <c r="D387" s="4">
        <v>46196</v>
      </c>
      <c r="E387" s="16" t="str">
        <f>HYPERLINK("https://www8.mpce.mp.br/Empenhos/150001/Objeto/23-2026.pdf","EMPENHO REF. CURSO ABORDANDO O TEMA: DESENVOLVIMENTO DE LÍDERES, COM CARGA HORÁRIA ENVOLVENDO: 6 WORKSHOPS 3H (20 PARTICIPANTES) QUINZENAIS, 6 REUNIÕES PRESENCIAIS DE 1H30 E ATI"&amp;"VIDADES ASSÍNCRONAS, COM O INTUITO DE DESENVOLVER NOS PROFISSIONAIS DO MPCE HABILIDADES DE LIDERANÇA - AUTOCONHECIMENTO, PLANEJAMENTO E GESTÃO DO TEMPO, DELEGAÇÃO E COMUNICAÇÃO, CONF. CONTRATO 023/2026 E ORDEM DE SERVIÇO S/N/2026/ESMP, REF. AGO A DEZ"&amp;"/2026.")</f>
        <v>EMPENHO REF. CURSO ABORDANDO O TEMA: DESENVOLVIMENTO DE LÍDERES, COM CARGA HORÁRIA ENVOLVENDO: 6 WORKSHOPS 3H (20 PARTICIPANTES) QUINZENAIS, 6 REUNIÕES PRESENCIAIS DE 1H30 E ATIVIDADES ASSÍNCRONAS, COM O INTUITO DE DESENVOLVER NOS PROFISSIONAIS DO MPCE HABILIDADES DE LIDERANÇA - AUTOCONHECIMENTO, PLANEJAMENTO E GESTÃO DO TEMPO, DELEGAÇÃO E COMUNICAÇÃO, CONF. CONTRATO 023/2026 E ORDEM DE SERVIÇO S/N/2026/ESMP, REF. AGO A DEZ/2026.</v>
      </c>
      <c r="F387" s="2" t="s">
        <v>254</v>
      </c>
      <c r="G387" s="5" t="str">
        <f>HYPERLINK("https://siafe.sefaz.ce.gov.br/Siafe/downloadSignature?token=2d8bcbfdf4e2491d849ebf4a5e4e9a6f","2026NE001448")</f>
        <v>2026NE001448</v>
      </c>
      <c r="H387" s="6">
        <v>110800</v>
      </c>
      <c r="I387" s="7" t="s">
        <v>362</v>
      </c>
      <c r="J387" s="10" t="s">
        <v>363</v>
      </c>
      <c r="L387" s="13"/>
    </row>
    <row r="388" spans="1:12" ht="153" x14ac:dyDescent="0.25">
      <c r="A388" s="12" t="s">
        <v>122</v>
      </c>
      <c r="B388" s="2" t="s">
        <v>344</v>
      </c>
      <c r="C388" s="3" t="str">
        <f>HYPERLINK("https://transparencia-area-fim.mpce.mp.br/#/consulta/processo/pastadigital/092026000116543","09.2026.00011654-3")</f>
        <v>09.2026.00011654-3</v>
      </c>
      <c r="D388" s="4">
        <v>46196</v>
      </c>
      <c r="E388" s="16" t="s">
        <v>364</v>
      </c>
      <c r="F388" s="2" t="s">
        <v>254</v>
      </c>
      <c r="G388" s="5" t="str">
        <f>HYPERLINK("https://siafe.sefaz.ce.gov.br/Siafe/downloadSignature?token=e1f263d108f946fcbfb2f9235983256f","2026NE001452")</f>
        <v>2026NE001452</v>
      </c>
      <c r="H388" s="6">
        <v>3000</v>
      </c>
      <c r="I388" s="7" t="s">
        <v>365</v>
      </c>
      <c r="J388" s="10" t="s">
        <v>366</v>
      </c>
      <c r="L388" s="13"/>
    </row>
    <row r="389" spans="1:12" ht="38.25" x14ac:dyDescent="0.25">
      <c r="A389" s="12" t="s">
        <v>122</v>
      </c>
      <c r="B389" s="2" t="s">
        <v>123</v>
      </c>
      <c r="C389" s="3" t="str">
        <f>HYPERLINK("https://transparencia-area-fim.mpce.mp.br/#/consulta/processo/pastadigital/092026000208284","09.2026.00020828-4")</f>
        <v>09.2026.00020828-4</v>
      </c>
      <c r="D389" s="4">
        <v>46197</v>
      </c>
      <c r="E389" s="16" t="s">
        <v>367</v>
      </c>
      <c r="F389" s="2" t="s">
        <v>188</v>
      </c>
      <c r="G389" s="5" t="str">
        <f>HYPERLINK("https://siafe.sefaz.ce.gov.br/Siafe/downloadSignature?token=dee9dfa7b1f34e47b9a7248c16bc357a","2026NE001460")</f>
        <v>2026NE001460</v>
      </c>
      <c r="H389" s="6">
        <v>117.84</v>
      </c>
      <c r="I389" s="7" t="s">
        <v>73</v>
      </c>
      <c r="J389" s="10" t="s">
        <v>227</v>
      </c>
      <c r="L389" s="13"/>
    </row>
    <row r="390" spans="1:12" ht="38.25" x14ac:dyDescent="0.25">
      <c r="A390" s="12" t="s">
        <v>122</v>
      </c>
      <c r="B390" s="2" t="s">
        <v>123</v>
      </c>
      <c r="C390" s="3" t="str">
        <f>HYPERLINK("https://transparencia-area-fim.mpce.mp.br/#/consulta/processo/pastadigital/092026000208318","09.2026.00020831-8")</f>
        <v>09.2026.00020831-8</v>
      </c>
      <c r="D390" s="4">
        <v>46197</v>
      </c>
      <c r="E390" s="16" t="s">
        <v>368</v>
      </c>
      <c r="F390" s="2" t="s">
        <v>188</v>
      </c>
      <c r="G390" s="5" t="str">
        <f>HYPERLINK("https://siafe.sefaz.ce.gov.br/Siafe/downloadSignature?token=286866f2750141c39a11b1667e079700","2026NE001461")</f>
        <v>2026NE001461</v>
      </c>
      <c r="H390" s="6">
        <v>595.16999999999996</v>
      </c>
      <c r="I390" s="7" t="s">
        <v>74</v>
      </c>
      <c r="J390" s="10" t="s">
        <v>226</v>
      </c>
      <c r="L390" s="13"/>
    </row>
    <row r="391" spans="1:12" ht="45" x14ac:dyDescent="0.25">
      <c r="A391" s="12" t="s">
        <v>122</v>
      </c>
      <c r="B391" s="2" t="s">
        <v>123</v>
      </c>
      <c r="C391" s="3" t="str">
        <f>HYPERLINK("https://transparencia-area-fim.mpce.mp.br/#/consulta/processo/pastadigital/092026000208484","09.2026.00020848-4")</f>
        <v>09.2026.00020848-4</v>
      </c>
      <c r="D391" s="4">
        <v>46197</v>
      </c>
      <c r="E391" s="17" t="s">
        <v>369</v>
      </c>
      <c r="F391" s="2" t="s">
        <v>188</v>
      </c>
      <c r="G391" s="5" t="str">
        <f>HYPERLINK("https://siafe.sefaz.ce.gov.br/Siafe/downloadSignature?token=58e711c203784865a9f53db8418c8ac1","2026NE001462")</f>
        <v>2026NE001462</v>
      </c>
      <c r="H391" s="6">
        <v>150</v>
      </c>
      <c r="I391" s="7" t="s">
        <v>64</v>
      </c>
      <c r="J391" s="10" t="s">
        <v>209</v>
      </c>
      <c r="L391" s="13"/>
    </row>
    <row r="392" spans="1:12" ht="38.25" x14ac:dyDescent="0.25">
      <c r="A392" s="12" t="s">
        <v>122</v>
      </c>
      <c r="B392" s="2" t="s">
        <v>123</v>
      </c>
      <c r="C392" s="3" t="str">
        <f>HYPERLINK("https://transparencia-area-fim.mpce.mp.br/#/consulta/processo/pastadigital/092026000208518","09.2026.00020851-8")</f>
        <v>09.2026.00020851-8</v>
      </c>
      <c r="D392" s="4">
        <v>46197</v>
      </c>
      <c r="E392" s="16" t="s">
        <v>370</v>
      </c>
      <c r="F392" s="2" t="s">
        <v>188</v>
      </c>
      <c r="G392" s="5" t="str">
        <f>HYPERLINK("https://siafe.sefaz.ce.gov.br/Siafe/downloadSignature?token=2ad82357d47a4ad494237d771fea150d","2026NE001463")</f>
        <v>2026NE001463</v>
      </c>
      <c r="H392" s="6">
        <v>146.49</v>
      </c>
      <c r="I392" s="7" t="s">
        <v>65</v>
      </c>
      <c r="J392" s="10" t="s">
        <v>210</v>
      </c>
      <c r="L392" s="13"/>
    </row>
    <row r="393" spans="1:12" ht="38.25" x14ac:dyDescent="0.25">
      <c r="A393" s="12" t="s">
        <v>122</v>
      </c>
      <c r="B393" s="2" t="s">
        <v>123</v>
      </c>
      <c r="C393" s="3" t="str">
        <f>HYPERLINK("https://transparencia-area-fim.mpce.mp.br/#/consulta/processo/pastadigital/092026000208540","09.2026.00020854-0")</f>
        <v>09.2026.00020854-0</v>
      </c>
      <c r="D393" s="4">
        <v>46197</v>
      </c>
      <c r="E393" s="16" t="s">
        <v>371</v>
      </c>
      <c r="F393" s="2" t="s">
        <v>188</v>
      </c>
      <c r="G393" s="5" t="str">
        <f>HYPERLINK("https://siafe.sefaz.ce.gov.br/Siafe/downloadSignature?token=73b83a5807454538b44b9cba4aee98ef","2026NE001464")</f>
        <v>2026NE001464</v>
      </c>
      <c r="H393" s="6">
        <v>453.06</v>
      </c>
      <c r="I393" s="7" t="s">
        <v>66</v>
      </c>
      <c r="J393" s="10" t="s">
        <v>211</v>
      </c>
      <c r="L393" s="13"/>
    </row>
    <row r="394" spans="1:12" ht="38.25" x14ac:dyDescent="0.25">
      <c r="A394" s="12" t="s">
        <v>122</v>
      </c>
      <c r="B394" s="2" t="s">
        <v>123</v>
      </c>
      <c r="C394" s="3" t="str">
        <f>HYPERLINK("https://transparencia-area-fim.mpce.mp.br/#/consulta/processo/pastadigital/092026000208573","09.2026.00020857-3")</f>
        <v>09.2026.00020857-3</v>
      </c>
      <c r="D394" s="4">
        <v>46197</v>
      </c>
      <c r="E394" s="16" t="s">
        <v>372</v>
      </c>
      <c r="F394" s="2" t="s">
        <v>188</v>
      </c>
      <c r="G394" s="5" t="str">
        <f>HYPERLINK("https://siafe.sefaz.ce.gov.br/Siafe/downloadSignature?token=ccf079c134cc4fbbaa7b409dc668712a","2026NE001465")</f>
        <v>2026NE001465</v>
      </c>
      <c r="H394" s="6">
        <v>245.28</v>
      </c>
      <c r="I394" s="7" t="s">
        <v>67</v>
      </c>
      <c r="J394" s="10" t="s">
        <v>212</v>
      </c>
      <c r="L394" s="13"/>
    </row>
    <row r="395" spans="1:12" ht="38.25" x14ac:dyDescent="0.25">
      <c r="A395" s="12" t="s">
        <v>122</v>
      </c>
      <c r="B395" s="2" t="s">
        <v>123</v>
      </c>
      <c r="C395" s="3" t="str">
        <f>HYPERLINK("https://transparencia-area-fim.mpce.mp.br/#/consulta/processo/pastadigital/092026000208451","09.2026.00020845-1")</f>
        <v>09.2026.00020845-1</v>
      </c>
      <c r="D395" s="4">
        <v>46197</v>
      </c>
      <c r="E395" s="16" t="s">
        <v>373</v>
      </c>
      <c r="F395" s="2" t="s">
        <v>188</v>
      </c>
      <c r="G395" s="5" t="str">
        <f>HYPERLINK("https://siafe.sefaz.ce.gov.br/Siafe/downloadSignature?token=07908b43ae094e9c817ccb53480da3b9","2026NE001466")</f>
        <v>2026NE001466</v>
      </c>
      <c r="H395" s="6">
        <v>194.7</v>
      </c>
      <c r="I395" s="7" t="s">
        <v>62</v>
      </c>
      <c r="J395" s="10" t="s">
        <v>208</v>
      </c>
      <c r="L395" s="13"/>
    </row>
    <row r="396" spans="1:12" ht="45" x14ac:dyDescent="0.25">
      <c r="A396" s="12" t="s">
        <v>122</v>
      </c>
      <c r="B396" s="2" t="s">
        <v>123</v>
      </c>
      <c r="C396" s="3" t="str">
        <f>HYPERLINK("https://transparencia-area-fim.mpce.mp.br/#/consulta/processo/pastadigital/092026000208373","09.2026.00020837-3")</f>
        <v>09.2026.00020837-3</v>
      </c>
      <c r="D396" s="4">
        <v>46197</v>
      </c>
      <c r="E396" s="17" t="s">
        <v>374</v>
      </c>
      <c r="F396" s="2" t="s">
        <v>188</v>
      </c>
      <c r="G396" s="5" t="str">
        <f>HYPERLINK("https://siafe.sefaz.ce.gov.br/Siafe/downloadSignature?token=2d0ee416bb3748339b0869c21a4dcdb3","2026NE001467")</f>
        <v>2026NE001467</v>
      </c>
      <c r="H396" s="6">
        <v>402.03</v>
      </c>
      <c r="I396" s="7" t="s">
        <v>79</v>
      </c>
      <c r="J396" s="10" t="s">
        <v>190</v>
      </c>
      <c r="L396" s="13"/>
    </row>
    <row r="397" spans="1:12" ht="38.25" x14ac:dyDescent="0.25">
      <c r="A397" s="12" t="s">
        <v>122</v>
      </c>
      <c r="B397" s="2" t="s">
        <v>123</v>
      </c>
      <c r="C397" s="3" t="str">
        <f>HYPERLINK("https://transparencia-area-fim.mpce.mp.br/#/consulta/processo/pastadigital/092026000208384","09.2026.00020838-4")</f>
        <v>09.2026.00020838-4</v>
      </c>
      <c r="D397" s="4">
        <v>46197</v>
      </c>
      <c r="E397" s="16" t="s">
        <v>375</v>
      </c>
      <c r="F397" s="2" t="s">
        <v>188</v>
      </c>
      <c r="G397" s="5" t="str">
        <f>HYPERLINK("https://siafe.sefaz.ce.gov.br/Siafe/downloadSignature?token=83e54ec6ea8140d292a83d4695aba1dd","2026NE001468")</f>
        <v>2026NE001468</v>
      </c>
      <c r="H397" s="6">
        <v>296.39999999999998</v>
      </c>
      <c r="I397" s="7" t="s">
        <v>59</v>
      </c>
      <c r="J397" s="10" t="s">
        <v>193</v>
      </c>
      <c r="L397" s="13"/>
    </row>
    <row r="398" spans="1:12" ht="38.25" x14ac:dyDescent="0.25">
      <c r="A398" s="12" t="s">
        <v>122</v>
      </c>
      <c r="B398" s="2" t="s">
        <v>123</v>
      </c>
      <c r="C398" s="3" t="str">
        <f>HYPERLINK("https://transparencia-area-fim.mpce.mp.br/#/consulta/processo/pastadigital/092026000208407","09.2026.00020840-7")</f>
        <v>09.2026.00020840-7</v>
      </c>
      <c r="D398" s="4">
        <v>46197</v>
      </c>
      <c r="E398" s="16" t="s">
        <v>376</v>
      </c>
      <c r="F398" s="2" t="s">
        <v>188</v>
      </c>
      <c r="G398" s="5" t="str">
        <f>HYPERLINK("https://siafe.sefaz.ce.gov.br/Siafe/downloadSignature?token=f6dd77dee8d6450eacc9ee4477739df4","2026NE001470")</f>
        <v>2026NE001470</v>
      </c>
      <c r="H398" s="6">
        <v>81.03</v>
      </c>
      <c r="I398" s="7" t="s">
        <v>195</v>
      </c>
      <c r="J398" s="10" t="s">
        <v>196</v>
      </c>
      <c r="L398" s="13"/>
    </row>
    <row r="399" spans="1:12" ht="38.25" x14ac:dyDescent="0.25">
      <c r="A399" s="12" t="s">
        <v>122</v>
      </c>
      <c r="B399" s="2" t="s">
        <v>203</v>
      </c>
      <c r="C399" s="3" t="str">
        <f>HYPERLINK("https://transparencia-area-fim.mpce.mp.br/#/consulta/processo/pastadigital/092026000208429","09.2026.00020842-9")</f>
        <v>09.2026.00020842-9</v>
      </c>
      <c r="D399" s="4">
        <v>46204</v>
      </c>
      <c r="E399" s="16" t="s">
        <v>377</v>
      </c>
      <c r="F399" s="2" t="s">
        <v>188</v>
      </c>
      <c r="G399" s="5" t="str">
        <f>HYPERLINK("https://siafe.sefaz.ce.gov.br/Siafe/downloadSignature?token=6ef55db931384493be3b5094445005eb","2026NE001483")</f>
        <v>2026NE001483</v>
      </c>
      <c r="H399" s="6">
        <v>399.96</v>
      </c>
      <c r="I399" s="7" t="s">
        <v>61</v>
      </c>
      <c r="J399" s="10" t="s">
        <v>202</v>
      </c>
      <c r="L399" s="13"/>
    </row>
    <row r="400" spans="1:12" ht="45" x14ac:dyDescent="0.25">
      <c r="A400" s="12" t="s">
        <v>122</v>
      </c>
      <c r="B400" s="2" t="s">
        <v>203</v>
      </c>
      <c r="C400" s="3" t="str">
        <f>HYPERLINK("https://transparencia-area-fim.mpce.mp.br/#/consulta/processo/pastadigital/092026000208351","09.2026.00020835-1")</f>
        <v>09.2026.00020835-1</v>
      </c>
      <c r="D400" s="4">
        <v>46204</v>
      </c>
      <c r="E400" s="17" t="s">
        <v>378</v>
      </c>
      <c r="F400" s="2" t="s">
        <v>188</v>
      </c>
      <c r="G400" s="5" t="str">
        <f>HYPERLINK("https://siafe.sefaz.ce.gov.br/Siafe/downloadSignature?token=efb449f277164c85ba5e493cb9e0275d","2026NE001484")</f>
        <v>2026NE001484</v>
      </c>
      <c r="H400" s="6">
        <v>74.52</v>
      </c>
      <c r="I400" s="7" t="s">
        <v>78</v>
      </c>
      <c r="J400" s="10" t="s">
        <v>189</v>
      </c>
      <c r="L400" s="13"/>
    </row>
    <row r="401" spans="1:12" ht="38.25" x14ac:dyDescent="0.25">
      <c r="A401" s="12" t="s">
        <v>122</v>
      </c>
      <c r="B401" s="2" t="s">
        <v>203</v>
      </c>
      <c r="C401" s="3" t="str">
        <f>HYPERLINK("https://transparencia-area-fim.mpce.mp.br/#/consulta/processo/pastadigital/092026000208340","09.2026.00020834-0")</f>
        <v>09.2026.00020834-0</v>
      </c>
      <c r="D401" s="4">
        <v>46206</v>
      </c>
      <c r="E401" s="16" t="s">
        <v>379</v>
      </c>
      <c r="F401" s="2" t="s">
        <v>188</v>
      </c>
      <c r="G401" s="5" t="str">
        <f>HYPERLINK("https://siafe.sefaz.ce.gov.br/Siafe/downloadSignature?token=a50c5f8d20c14afcaef9b55dfb9b2433","2026NE001485")</f>
        <v>2026NE001485</v>
      </c>
      <c r="H401" s="6">
        <v>600</v>
      </c>
      <c r="I401" s="7" t="s">
        <v>75</v>
      </c>
      <c r="J401" s="10" t="s">
        <v>225</v>
      </c>
      <c r="L401" s="13"/>
    </row>
    <row r="402" spans="1:12" ht="38.25" x14ac:dyDescent="0.25">
      <c r="A402" s="12" t="s">
        <v>122</v>
      </c>
      <c r="B402" s="2" t="s">
        <v>203</v>
      </c>
      <c r="C402" s="3" t="str">
        <f>HYPERLINK("https://transparencia-area-fim.mpce.mp.br/#/consulta/processo/pastadigital/092026000208751","09.2026.00020875-1")</f>
        <v>09.2026.00020875-1</v>
      </c>
      <c r="D402" s="4">
        <v>46206</v>
      </c>
      <c r="E402" s="16" t="s">
        <v>380</v>
      </c>
      <c r="F402" s="2" t="s">
        <v>188</v>
      </c>
      <c r="G402" s="5" t="str">
        <f>HYPERLINK("https://siafe.sefaz.ce.gov.br/Siafe/downloadSignature?token=4df760edefa34985b4e960017c1a622b","2026NE001486")</f>
        <v>2026NE001486</v>
      </c>
      <c r="H402" s="6">
        <v>135000</v>
      </c>
      <c r="I402" s="7" t="s">
        <v>72</v>
      </c>
      <c r="J402" s="10" t="s">
        <v>220</v>
      </c>
      <c r="L402" s="13"/>
    </row>
    <row r="403" spans="1:12" ht="38.25" x14ac:dyDescent="0.25">
      <c r="A403" s="12" t="s">
        <v>122</v>
      </c>
      <c r="B403" s="2" t="s">
        <v>203</v>
      </c>
      <c r="C403" s="3" t="str">
        <f>HYPERLINK("https://transparencia-area-fim.mpce.mp.br/#/consulta/processo/pastadigital/092026000208662","09.2026.00020866-2")</f>
        <v>09.2026.00020866-2</v>
      </c>
      <c r="D403" s="4">
        <v>46206</v>
      </c>
      <c r="E403" s="16" t="s">
        <v>381</v>
      </c>
      <c r="F403" s="2" t="s">
        <v>188</v>
      </c>
      <c r="G403" s="5" t="str">
        <f>HYPERLINK("https://siafe.sefaz.ce.gov.br/Siafe/downloadSignature?token=605dbd09693347ce8ea95f444978b4d2","2026NE001487")</f>
        <v>2026NE001487</v>
      </c>
      <c r="H403" s="6">
        <v>433.62</v>
      </c>
      <c r="I403" s="7" t="s">
        <v>71</v>
      </c>
      <c r="J403" s="10" t="s">
        <v>218</v>
      </c>
      <c r="L403" s="13"/>
    </row>
    <row r="404" spans="1:12" ht="38.25" x14ac:dyDescent="0.25">
      <c r="A404" s="12" t="s">
        <v>122</v>
      </c>
      <c r="B404" s="2" t="s">
        <v>203</v>
      </c>
      <c r="C404" s="3" t="str">
        <f>HYPERLINK("https://transparencia-area-fim.mpce.mp.br/#/consulta/processo/pastadigital/092026000208630","09.2026.00020863-0")</f>
        <v>09.2026.00020863-0</v>
      </c>
      <c r="D404" s="4">
        <v>46206</v>
      </c>
      <c r="E404" s="16" t="s">
        <v>382</v>
      </c>
      <c r="F404" s="2" t="s">
        <v>188</v>
      </c>
      <c r="G404" s="5" t="str">
        <f>HYPERLINK("https://siafe.sefaz.ce.gov.br/Siafe/downloadSignature?token=5b3e0f1637e4418f82c7ebd892b6ebe2","2026NE001488")</f>
        <v>2026NE001488</v>
      </c>
      <c r="H404" s="6">
        <v>4500</v>
      </c>
      <c r="I404" s="7" t="s">
        <v>68</v>
      </c>
      <c r="J404" s="10" t="s">
        <v>217</v>
      </c>
      <c r="L404" s="13"/>
    </row>
    <row r="405" spans="1:12" ht="38.25" x14ac:dyDescent="0.25">
      <c r="A405" s="12" t="s">
        <v>122</v>
      </c>
      <c r="B405" s="2" t="s">
        <v>203</v>
      </c>
      <c r="C405" s="3" t="str">
        <f>HYPERLINK("https://transparencia-area-fim.mpce.mp.br/#/consulta/processo/pastadigital/092026000208607","09.2026.00020860-7")</f>
        <v>09.2026.00020860-7</v>
      </c>
      <c r="D405" s="4">
        <v>46206</v>
      </c>
      <c r="E405" s="16" t="s">
        <v>383</v>
      </c>
      <c r="F405" s="2" t="s">
        <v>188</v>
      </c>
      <c r="G405" s="5" t="str">
        <f>HYPERLINK("https://siafe.sefaz.ce.gov.br/Siafe/downloadSignature?token=a6d70d9099eb41d89ea52f4ab62d6b00","2026NE001489")</f>
        <v>2026NE001489</v>
      </c>
      <c r="H405" s="6">
        <v>636</v>
      </c>
      <c r="I405" s="7" t="s">
        <v>77</v>
      </c>
      <c r="J405" s="10" t="s">
        <v>215</v>
      </c>
      <c r="L405" s="13"/>
    </row>
    <row r="406" spans="1:12" ht="45" x14ac:dyDescent="0.25">
      <c r="A406" s="12" t="s">
        <v>122</v>
      </c>
      <c r="B406" s="2" t="s">
        <v>203</v>
      </c>
      <c r="C406" s="3" t="str">
        <f>HYPERLINK("https://transparencia-area-fim.mpce.mp.br/#/consulta/processo/pastadigital/092026000208584","09.2026.00020858-4")</f>
        <v>09.2026.00020858-4</v>
      </c>
      <c r="D406" s="4">
        <v>46206</v>
      </c>
      <c r="E406" s="17" t="s">
        <v>384</v>
      </c>
      <c r="F406" s="2" t="s">
        <v>188</v>
      </c>
      <c r="G406" s="5" t="str">
        <f>HYPERLINK("https://siafe.sefaz.ce.gov.br/Siafe/downloadSignature?token=07f53e1c11624793baebbfae45fd536d","2026NE001490")</f>
        <v>2026NE001490</v>
      </c>
      <c r="H406" s="6">
        <v>594.17999999999995</v>
      </c>
      <c r="I406" s="7" t="s">
        <v>213</v>
      </c>
      <c r="J406" s="10" t="s">
        <v>214</v>
      </c>
      <c r="L406" s="13"/>
    </row>
    <row r="407" spans="1:12" ht="38.25" x14ac:dyDescent="0.25">
      <c r="A407" s="12" t="s">
        <v>111</v>
      </c>
      <c r="B407" s="2" t="s">
        <v>269</v>
      </c>
      <c r="C407" s="3" t="str">
        <f>HYPERLINK("https://transparencia-area-fim.mpce.mp.br/#/consulta/processo/pastadigital/092024000041060","09.2024.00004106-0")</f>
        <v>09.2024.00004106-0</v>
      </c>
      <c r="D407" s="4">
        <v>46206</v>
      </c>
      <c r="E407" s="16" t="str">
        <f>HYPERLINK("https://www8.mpce.mp.br/Empenhos/150001/Objeto/95-2024.pdf","EMPENHO REF. SERVIÇOS DE TELEFONIA MÓVEL (SOMENTE CHIPS), CONF. CONTRATO 095/2024, REF. JUL, AGO E SET/2026, POR ESTIMATIVA.")</f>
        <v>EMPENHO REF. SERVIÇOS DE TELEFONIA MÓVEL (SOMENTE CHIPS), CONF. CONTRATO 095/2024, REF. JUL, AGO E SET/2026, POR ESTIMATIVA.</v>
      </c>
      <c r="F407" s="2" t="s">
        <v>221</v>
      </c>
      <c r="G407" s="5" t="str">
        <f>HYPERLINK("https://siafe.sefaz.ce.gov.br/Siafe/downloadSignature?token=a12fd51bf0294e8c83f223197a38f222","2026NE001491")</f>
        <v>2026NE001491</v>
      </c>
      <c r="H407" s="6">
        <v>6315</v>
      </c>
      <c r="I407" s="7" t="s">
        <v>222</v>
      </c>
      <c r="J407" s="10" t="s">
        <v>223</v>
      </c>
      <c r="L407" s="13"/>
    </row>
    <row r="408" spans="1:12" ht="51" x14ac:dyDescent="0.25">
      <c r="A408" s="12" t="s">
        <v>111</v>
      </c>
      <c r="B408" s="2" t="s">
        <v>159</v>
      </c>
      <c r="C408" s="3" t="str">
        <f>HYPERLINK("https://transparencia-area-fim.mpce.mp.br/#/consulta/processo/pastadigital/092025000206082","09.2025.00020608-2")</f>
        <v>09.2025.00020608-2</v>
      </c>
      <c r="D408" s="4">
        <v>46210</v>
      </c>
      <c r="E408" s="16" t="str">
        <f>HYPERLINK("https://www8.mpce.mp.br/Empenhos/150001/Objeto/39-2025.pdf","EMPENHO REF. FORNECIMENTO DE PRODUTOS E E DE DIVERSOS SERVIÇOS DOS CORREIOS POR MEIO DE CANAIS DE ATENDIMENTO DISPONIBILIZADOS, CONF. CONTRATO 039/2025, REF. JUL, AGO E SET/2026"&amp;", POR ESTIMATIVA.")</f>
        <v>EMPENHO REF. FORNECIMENTO DE PRODUTOS E E DE DIVERSOS SERVIÇOS DOS CORREIOS POR MEIO DE CANAIS DE ATENDIMENTO DISPONIBILIZADOS, CONF. CONTRATO 039/2025, REF. JUL, AGO E SET/2026, POR ESTIMATIVA.</v>
      </c>
      <c r="F408" s="2" t="s">
        <v>265</v>
      </c>
      <c r="G408" s="5" t="str">
        <f>HYPERLINK("https://siafe.sefaz.ce.gov.br/Siafe/downloadSignature?token=dc598784ba4544809a8f40c397d388b6","2026NE001550")</f>
        <v>2026NE001550</v>
      </c>
      <c r="H408" s="6">
        <v>36000</v>
      </c>
      <c r="I408" s="7" t="s">
        <v>49</v>
      </c>
      <c r="J408" s="10" t="s">
        <v>266</v>
      </c>
      <c r="L408" s="13"/>
    </row>
    <row r="409" spans="1:12" ht="25.5" x14ac:dyDescent="0.25">
      <c r="A409" s="12" t="s">
        <v>122</v>
      </c>
      <c r="B409" s="2" t="s">
        <v>146</v>
      </c>
      <c r="C409" s="3" t="str">
        <f>HYPERLINK("https://transparencia-area-fim.mpce.mp.br/#/consulta/processo/pastadigital/092026000209306","09.2026.00020930-6")</f>
        <v>09.2026.00020930-6</v>
      </c>
      <c r="D409" s="4">
        <v>46210</v>
      </c>
      <c r="E409" s="16" t="s">
        <v>385</v>
      </c>
      <c r="F409" s="2" t="s">
        <v>232</v>
      </c>
      <c r="G409" s="5" t="str">
        <f>HYPERLINK("https://siafe.sefaz.ce.gov.br/Siafe/downloadSignature?token=f6fadcbbb4b6455eb4dd874a25490afa","2026NE001579")</f>
        <v>2026NE001579</v>
      </c>
      <c r="H409" s="6">
        <v>100</v>
      </c>
      <c r="I409" s="7" t="s">
        <v>233</v>
      </c>
      <c r="J409" s="10" t="s">
        <v>234</v>
      </c>
      <c r="L409" s="13"/>
    </row>
    <row r="410" spans="1:12" ht="89.25" x14ac:dyDescent="0.25">
      <c r="A410" s="12" t="s">
        <v>122</v>
      </c>
      <c r="B410" s="2" t="s">
        <v>293</v>
      </c>
      <c r="C410" s="3" t="str">
        <f>HYPERLINK("https://transparencia-area-fim.mpce.mp.br/#/consulta/processo/pastadigital/092026000145793","09.2026.00014579-3")</f>
        <v>09.2026.00014579-3</v>
      </c>
      <c r="D410" s="4">
        <v>46205</v>
      </c>
      <c r="E410" s="16" t="s">
        <v>386</v>
      </c>
      <c r="F410" s="2" t="s">
        <v>254</v>
      </c>
      <c r="G410" s="5" t="str">
        <f>HYPERLINK("https://siafe.sefaz.ce.gov.br/Siafe/downloadSignature?token=1a0060a44ad64d02a23097245f0a0ed1","2026NE001581")</f>
        <v>2026NE001581</v>
      </c>
      <c r="H410" s="6">
        <v>2500</v>
      </c>
      <c r="I410" s="7" t="s">
        <v>387</v>
      </c>
      <c r="J410" s="10" t="s">
        <v>388</v>
      </c>
    </row>
    <row r="411" spans="1:12" ht="25.5" x14ac:dyDescent="0.25">
      <c r="A411" s="12" t="s">
        <v>122</v>
      </c>
      <c r="B411" s="2" t="s">
        <v>146</v>
      </c>
      <c r="C411" s="3" t="str">
        <f>HYPERLINK("https://transparencia-area-fim.mpce.mp.br/#/consulta/processo/pastadigital/092026000209294","09.2026.00020929-4")</f>
        <v>09.2026.00020929-4</v>
      </c>
      <c r="D411" s="4">
        <v>46210</v>
      </c>
      <c r="E411" s="16" t="s">
        <v>389</v>
      </c>
      <c r="F411" s="2" t="s">
        <v>232</v>
      </c>
      <c r="G411" s="5" t="str">
        <f>HYPERLINK("https://siafe.sefaz.ce.gov.br/Siafe/downloadSignature?token=4dad6fc9f2704768a3f92a1da48c9d78","2026NE001583")</f>
        <v>2026NE001583</v>
      </c>
      <c r="H411" s="6">
        <v>30000</v>
      </c>
      <c r="I411" s="7" t="s">
        <v>233</v>
      </c>
      <c r="J411" s="10" t="s">
        <v>234</v>
      </c>
    </row>
    <row r="412" spans="1:12" ht="102" x14ac:dyDescent="0.25">
      <c r="A412" s="12" t="s">
        <v>122</v>
      </c>
      <c r="B412" s="2" t="s">
        <v>355</v>
      </c>
      <c r="C412" s="3" t="str">
        <f>HYPERLINK("https://transparencia-area-fim.mpce.mp.br/#/consulta/processo/pastadigital/092026000178151","09.2026.00017815-1")</f>
        <v>09.2026.00017815-1</v>
      </c>
      <c r="D412" s="4">
        <v>46206</v>
      </c>
      <c r="E412" s="16" t="s">
        <v>390</v>
      </c>
      <c r="F412" s="2" t="s">
        <v>391</v>
      </c>
      <c r="G412" s="5" t="str">
        <f>HYPERLINK("https://siafe.sefaz.ce.gov.br/Siafe/downloadSignature?token=6f7d1cad83e0444fb7c0da07b2a333a2","2026NE001616")</f>
        <v>2026NE001616</v>
      </c>
      <c r="H412" s="6">
        <v>3000</v>
      </c>
      <c r="I412" s="7" t="s">
        <v>392</v>
      </c>
      <c r="J412" s="10" t="s">
        <v>393</v>
      </c>
    </row>
    <row r="413" spans="1:12" x14ac:dyDescent="0.25">
      <c r="A413" s="12"/>
      <c r="B413" s="2"/>
      <c r="C413" s="3"/>
      <c r="D413" s="4"/>
      <c r="E413" s="16"/>
      <c r="F413" s="2"/>
      <c r="G413" s="5"/>
      <c r="H413" s="6"/>
      <c r="I413" s="7"/>
      <c r="J413" s="10"/>
      <c r="L413" s="13"/>
    </row>
    <row r="414" spans="1:12" x14ac:dyDescent="0.25">
      <c r="A414" s="12"/>
      <c r="B414" s="2"/>
      <c r="C414" s="3"/>
      <c r="D414" s="4"/>
      <c r="E414" s="16"/>
      <c r="F414" s="2"/>
      <c r="G414" s="5"/>
      <c r="H414" s="6"/>
      <c r="I414" s="7"/>
      <c r="J414" s="10"/>
    </row>
    <row r="415" spans="1:12" x14ac:dyDescent="0.25">
      <c r="A415" s="12"/>
      <c r="B415" s="2"/>
      <c r="C415" s="3"/>
      <c r="D415" s="4"/>
      <c r="E415" s="16"/>
      <c r="F415" s="2"/>
      <c r="G415" s="5"/>
      <c r="H415" s="6"/>
      <c r="I415" s="7"/>
      <c r="J415" s="10"/>
      <c r="L415" s="13"/>
    </row>
    <row r="416" spans="1:12" x14ac:dyDescent="0.25">
      <c r="A416" s="12"/>
      <c r="B416" s="2"/>
      <c r="C416" s="3"/>
      <c r="D416" s="4"/>
      <c r="E416" s="16"/>
      <c r="F416" s="2"/>
      <c r="G416" s="5"/>
      <c r="H416" s="6"/>
      <c r="I416" s="7"/>
      <c r="J416" s="10"/>
      <c r="L416" s="13"/>
    </row>
    <row r="417" spans="1:12" x14ac:dyDescent="0.25">
      <c r="A417" s="12"/>
      <c r="B417" s="2"/>
      <c r="C417" s="3"/>
      <c r="D417" s="4"/>
      <c r="E417" s="16"/>
      <c r="F417" s="2"/>
      <c r="G417" s="5"/>
      <c r="H417" s="6"/>
      <c r="I417" s="7"/>
      <c r="J417" s="10"/>
      <c r="L417" s="13"/>
    </row>
    <row r="418" spans="1:12" x14ac:dyDescent="0.25">
      <c r="A418" s="12"/>
      <c r="B418" s="2"/>
      <c r="C418" s="3"/>
      <c r="D418" s="4"/>
      <c r="E418" s="16"/>
      <c r="F418" s="2"/>
      <c r="G418" s="5"/>
      <c r="H418" s="6"/>
      <c r="I418" s="7"/>
      <c r="J418" s="10"/>
      <c r="L418" s="13"/>
    </row>
    <row r="419" spans="1:12" x14ac:dyDescent="0.25">
      <c r="A419" s="12"/>
      <c r="B419" s="2"/>
      <c r="C419" s="3"/>
      <c r="D419" s="4"/>
      <c r="E419" s="16"/>
      <c r="F419" s="2"/>
      <c r="G419" s="5"/>
      <c r="H419" s="6"/>
      <c r="I419" s="7"/>
      <c r="J419" s="10"/>
    </row>
    <row r="420" spans="1:12" x14ac:dyDescent="0.25">
      <c r="A420" s="12"/>
      <c r="B420" s="2"/>
      <c r="C420" s="3"/>
      <c r="D420" s="4"/>
      <c r="E420" s="16"/>
      <c r="F420" s="2"/>
      <c r="G420" s="5"/>
      <c r="H420" s="6"/>
      <c r="I420" s="7"/>
      <c r="J420" s="10"/>
    </row>
    <row r="421" spans="1:12" x14ac:dyDescent="0.25">
      <c r="A421" s="12"/>
      <c r="B421" s="2"/>
      <c r="C421" s="3"/>
      <c r="D421" s="4"/>
      <c r="E421" s="17"/>
      <c r="F421" s="2"/>
      <c r="G421" s="5"/>
      <c r="H421" s="6"/>
      <c r="I421" s="7"/>
      <c r="J421" s="10"/>
    </row>
    <row r="422" spans="1:12" x14ac:dyDescent="0.25">
      <c r="A422" s="12"/>
      <c r="B422" s="2"/>
      <c r="C422" s="3"/>
      <c r="D422" s="4"/>
      <c r="E422" s="16"/>
      <c r="F422" s="2"/>
      <c r="G422" s="5"/>
      <c r="H422" s="6"/>
      <c r="I422" s="7"/>
      <c r="J422" s="10"/>
      <c r="L422" s="13"/>
    </row>
    <row r="423" spans="1:12" x14ac:dyDescent="0.25">
      <c r="A423" s="12"/>
      <c r="B423" s="2"/>
      <c r="C423" s="3"/>
      <c r="D423" s="4"/>
      <c r="E423" s="16"/>
      <c r="F423" s="2"/>
      <c r="G423" s="5"/>
      <c r="H423" s="6"/>
      <c r="I423" s="7"/>
      <c r="J423" s="10"/>
      <c r="L423" s="13"/>
    </row>
    <row r="424" spans="1:12" x14ac:dyDescent="0.25">
      <c r="A424" s="12"/>
      <c r="B424" s="2"/>
      <c r="C424" s="3"/>
      <c r="D424" s="4"/>
      <c r="E424" s="16"/>
      <c r="F424" s="2"/>
      <c r="G424" s="5"/>
      <c r="H424" s="6"/>
      <c r="I424" s="7"/>
      <c r="J424" s="10"/>
      <c r="L424" s="13"/>
    </row>
    <row r="425" spans="1:12" x14ac:dyDescent="0.25">
      <c r="A425" s="12"/>
      <c r="B425" s="2"/>
      <c r="C425" s="3"/>
      <c r="D425" s="4"/>
      <c r="E425" s="16"/>
      <c r="F425" s="2"/>
      <c r="G425" s="5"/>
      <c r="H425" s="6"/>
      <c r="I425" s="7"/>
      <c r="J425" s="10"/>
    </row>
    <row r="426" spans="1:12" x14ac:dyDescent="0.25">
      <c r="A426" s="12"/>
      <c r="B426" s="2"/>
      <c r="C426" s="3"/>
      <c r="D426" s="4"/>
      <c r="E426" s="16"/>
      <c r="F426" s="2"/>
      <c r="G426" s="5"/>
      <c r="H426" s="6"/>
      <c r="I426" s="7"/>
      <c r="J426" s="10"/>
      <c r="L426" s="13"/>
    </row>
    <row r="427" spans="1:12" x14ac:dyDescent="0.25">
      <c r="A427" s="12"/>
      <c r="B427" s="2"/>
      <c r="C427" s="3"/>
      <c r="D427" s="4"/>
      <c r="E427" s="16"/>
      <c r="F427" s="2"/>
      <c r="G427" s="5"/>
      <c r="H427" s="6"/>
      <c r="I427" s="7"/>
      <c r="J427" s="10"/>
      <c r="L427" s="13"/>
    </row>
    <row r="428" spans="1:12" x14ac:dyDescent="0.25">
      <c r="A428" s="12"/>
      <c r="B428" s="2"/>
      <c r="C428" s="3"/>
      <c r="D428" s="4"/>
      <c r="E428" s="16"/>
      <c r="F428" s="2"/>
      <c r="G428" s="5"/>
      <c r="H428" s="6"/>
      <c r="I428" s="7"/>
      <c r="J428" s="10"/>
      <c r="L428" s="13"/>
    </row>
    <row r="429" spans="1:12" x14ac:dyDescent="0.25">
      <c r="A429" s="12"/>
      <c r="B429" s="2"/>
      <c r="C429" s="3"/>
      <c r="D429" s="4"/>
      <c r="E429" s="16"/>
      <c r="F429" s="2"/>
      <c r="G429" s="5"/>
      <c r="H429" s="6"/>
      <c r="I429" s="7"/>
      <c r="J429" s="10"/>
      <c r="L429" s="13"/>
    </row>
    <row r="430" spans="1:12" x14ac:dyDescent="0.25">
      <c r="A430" s="12"/>
      <c r="B430" s="2"/>
      <c r="C430" s="3"/>
      <c r="D430" s="4"/>
      <c r="E430" s="16"/>
      <c r="F430" s="2"/>
      <c r="G430" s="5"/>
      <c r="H430" s="6"/>
      <c r="I430" s="7"/>
      <c r="J430" s="10"/>
      <c r="L430" s="13"/>
    </row>
    <row r="431" spans="1:12" x14ac:dyDescent="0.25">
      <c r="A431" s="12"/>
      <c r="B431" s="2"/>
      <c r="C431" s="3"/>
      <c r="D431" s="4"/>
      <c r="E431" s="16"/>
      <c r="F431" s="2"/>
      <c r="G431" s="5"/>
      <c r="H431" s="6"/>
      <c r="I431" s="7"/>
      <c r="J431" s="10"/>
      <c r="L431" s="13"/>
    </row>
    <row r="432" spans="1:12" x14ac:dyDescent="0.25">
      <c r="A432" s="12"/>
      <c r="B432" s="2"/>
      <c r="C432" s="3"/>
      <c r="D432" s="4"/>
      <c r="E432" s="16"/>
      <c r="F432" s="2"/>
      <c r="G432" s="5"/>
      <c r="H432" s="6"/>
      <c r="I432" s="7"/>
      <c r="J432" s="10"/>
    </row>
    <row r="433" spans="1:12" x14ac:dyDescent="0.25">
      <c r="A433" s="12"/>
      <c r="B433" s="2"/>
      <c r="C433" s="3"/>
      <c r="D433" s="4"/>
      <c r="E433" s="16"/>
      <c r="F433" s="2"/>
      <c r="G433" s="5"/>
      <c r="H433" s="6"/>
      <c r="I433" s="7"/>
      <c r="J433" s="10"/>
      <c r="L433" s="13"/>
    </row>
    <row r="434" spans="1:12" x14ac:dyDescent="0.25">
      <c r="A434" s="12"/>
      <c r="B434" s="2"/>
      <c r="C434" s="3"/>
      <c r="D434" s="4"/>
      <c r="E434" s="16"/>
      <c r="F434" s="2"/>
      <c r="G434" s="5"/>
      <c r="H434" s="6"/>
      <c r="I434" s="7"/>
      <c r="J434" s="10"/>
      <c r="L434" s="13"/>
    </row>
    <row r="435" spans="1:12" x14ac:dyDescent="0.25">
      <c r="A435" s="12"/>
      <c r="B435" s="2"/>
      <c r="C435" s="3"/>
      <c r="D435" s="4"/>
      <c r="E435" s="17"/>
      <c r="F435" s="2"/>
      <c r="G435" s="5"/>
      <c r="H435" s="6"/>
      <c r="I435" s="7"/>
      <c r="J435" s="10"/>
      <c r="L435" s="13"/>
    </row>
    <row r="436" spans="1:12" x14ac:dyDescent="0.25">
      <c r="A436" s="12"/>
      <c r="B436" s="2"/>
      <c r="C436" s="3"/>
      <c r="D436" s="4"/>
      <c r="E436" s="16"/>
      <c r="F436" s="2"/>
      <c r="G436" s="5"/>
      <c r="H436" s="6"/>
      <c r="I436" s="7"/>
      <c r="J436" s="10"/>
      <c r="L436" s="13"/>
    </row>
    <row r="437" spans="1:12" x14ac:dyDescent="0.25">
      <c r="A437" s="12"/>
      <c r="B437" s="2"/>
      <c r="C437" s="3"/>
      <c r="D437" s="4"/>
      <c r="E437" s="16"/>
      <c r="F437" s="2"/>
      <c r="G437" s="5"/>
      <c r="H437" s="6"/>
      <c r="I437" s="7"/>
      <c r="J437" s="10"/>
      <c r="L437" s="13"/>
    </row>
    <row r="438" spans="1:12" x14ac:dyDescent="0.25">
      <c r="A438" s="12"/>
      <c r="B438" s="2"/>
      <c r="C438" s="3"/>
      <c r="D438" s="4"/>
      <c r="E438" s="16"/>
      <c r="F438" s="2"/>
      <c r="G438" s="5"/>
      <c r="H438" s="6"/>
      <c r="I438" s="7"/>
      <c r="J438" s="10"/>
      <c r="L438" s="13"/>
    </row>
    <row r="439" spans="1:12" x14ac:dyDescent="0.25">
      <c r="A439" s="12"/>
      <c r="B439" s="2"/>
      <c r="C439" s="3"/>
      <c r="D439" s="4"/>
      <c r="E439" s="16"/>
      <c r="F439" s="2"/>
      <c r="G439" s="5"/>
      <c r="H439" s="6"/>
      <c r="I439" s="7"/>
      <c r="J439" s="10"/>
      <c r="L439" s="13"/>
    </row>
    <row r="440" spans="1:12" x14ac:dyDescent="0.25">
      <c r="A440" s="12"/>
      <c r="B440" s="2"/>
      <c r="C440" s="3"/>
      <c r="D440" s="4"/>
      <c r="E440" s="16"/>
      <c r="F440" s="2"/>
      <c r="G440" s="5"/>
      <c r="H440" s="6"/>
      <c r="I440" s="7"/>
      <c r="J440" s="10"/>
      <c r="L440" s="13"/>
    </row>
    <row r="441" spans="1:12" x14ac:dyDescent="0.25">
      <c r="A441" s="12"/>
      <c r="B441" s="2"/>
      <c r="C441" s="3"/>
      <c r="D441" s="4"/>
      <c r="E441" s="16"/>
      <c r="F441" s="2"/>
      <c r="G441" s="5"/>
      <c r="H441" s="6"/>
      <c r="I441" s="7"/>
      <c r="J441" s="10"/>
      <c r="L441" s="13"/>
    </row>
    <row r="442" spans="1:12" x14ac:dyDescent="0.25">
      <c r="A442" s="12"/>
      <c r="B442" s="2"/>
      <c r="C442" s="3"/>
      <c r="D442" s="4"/>
      <c r="E442" s="16"/>
      <c r="F442" s="2"/>
      <c r="G442" s="5"/>
      <c r="H442" s="6"/>
      <c r="I442" s="7"/>
      <c r="J442" s="10"/>
      <c r="L442" s="13"/>
    </row>
    <row r="443" spans="1:12" x14ac:dyDescent="0.25">
      <c r="A443" s="12"/>
      <c r="B443" s="2"/>
      <c r="C443" s="3"/>
      <c r="D443" s="4"/>
      <c r="E443" s="16"/>
      <c r="F443" s="2"/>
      <c r="G443" s="5"/>
      <c r="H443" s="6"/>
      <c r="I443" s="7"/>
      <c r="J443" s="10"/>
      <c r="L443" s="13"/>
    </row>
    <row r="444" spans="1:12" x14ac:dyDescent="0.25">
      <c r="A444" s="12"/>
      <c r="B444" s="2"/>
      <c r="C444" s="3"/>
      <c r="D444" s="4"/>
      <c r="E444" s="16"/>
      <c r="F444" s="2"/>
      <c r="G444" s="5"/>
      <c r="H444" s="6"/>
      <c r="I444" s="7"/>
      <c r="J444" s="10"/>
    </row>
    <row r="445" spans="1:12" x14ac:dyDescent="0.25">
      <c r="A445" s="12"/>
      <c r="B445" s="2"/>
      <c r="C445" s="3"/>
      <c r="D445" s="4"/>
      <c r="E445" s="16"/>
      <c r="F445" s="2"/>
      <c r="G445" s="5"/>
      <c r="H445" s="6"/>
      <c r="I445" s="7"/>
      <c r="J445" s="10"/>
      <c r="L445" s="13"/>
    </row>
    <row r="446" spans="1:12" x14ac:dyDescent="0.25">
      <c r="A446" s="12"/>
      <c r="B446" s="2"/>
      <c r="C446" s="3"/>
      <c r="D446" s="4"/>
      <c r="E446" s="17"/>
      <c r="F446" s="2"/>
      <c r="G446" s="5"/>
      <c r="H446" s="6"/>
      <c r="I446" s="7"/>
      <c r="J446" s="10"/>
      <c r="L446" s="13"/>
    </row>
    <row r="447" spans="1:12" x14ac:dyDescent="0.25">
      <c r="A447" s="12"/>
      <c r="B447" s="2"/>
      <c r="C447" s="3"/>
      <c r="D447" s="4"/>
      <c r="E447" s="16"/>
      <c r="F447" s="2"/>
      <c r="G447" s="5"/>
      <c r="H447" s="6"/>
      <c r="I447" s="7"/>
      <c r="J447" s="10"/>
      <c r="L447" s="13"/>
    </row>
    <row r="448" spans="1:12" x14ac:dyDescent="0.25">
      <c r="A448" s="12"/>
      <c r="B448" s="2"/>
      <c r="C448" s="3"/>
      <c r="D448" s="4"/>
      <c r="E448" s="16"/>
      <c r="F448" s="2"/>
      <c r="G448" s="5"/>
      <c r="H448" s="6"/>
      <c r="I448" s="7"/>
      <c r="J448" s="10"/>
      <c r="L448" s="13"/>
    </row>
    <row r="449" spans="1:12" x14ac:dyDescent="0.25">
      <c r="A449" s="12"/>
      <c r="B449" s="2"/>
      <c r="C449" s="3"/>
      <c r="D449" s="4"/>
      <c r="E449" s="16"/>
      <c r="F449" s="2"/>
      <c r="G449" s="5"/>
      <c r="H449" s="6"/>
      <c r="I449" s="7"/>
      <c r="J449" s="10"/>
      <c r="L449" s="13"/>
    </row>
    <row r="450" spans="1:12" x14ac:dyDescent="0.25">
      <c r="A450" s="12"/>
      <c r="B450" s="2"/>
      <c r="C450" s="3"/>
      <c r="D450" s="4"/>
      <c r="E450" s="16"/>
      <c r="F450" s="2"/>
      <c r="G450" s="5"/>
      <c r="H450" s="6"/>
      <c r="I450" s="7"/>
      <c r="J450" s="10"/>
      <c r="L450" s="13"/>
    </row>
    <row r="451" spans="1:12" x14ac:dyDescent="0.25">
      <c r="A451" s="12"/>
      <c r="B451" s="2"/>
      <c r="C451" s="3"/>
      <c r="D451" s="4"/>
      <c r="E451" s="16"/>
      <c r="F451" s="2"/>
      <c r="G451" s="5"/>
      <c r="H451" s="6"/>
      <c r="I451" s="7"/>
      <c r="J451" s="10"/>
      <c r="L451" s="13"/>
    </row>
    <row r="452" spans="1:12" x14ac:dyDescent="0.25">
      <c r="A452" s="12"/>
      <c r="B452" s="2"/>
      <c r="C452" s="3"/>
      <c r="D452" s="4"/>
      <c r="E452" s="16"/>
      <c r="F452" s="2"/>
      <c r="G452" s="5"/>
      <c r="H452" s="6"/>
      <c r="I452" s="7"/>
      <c r="J452" s="10"/>
      <c r="L452" s="13"/>
    </row>
    <row r="453" spans="1:12" x14ac:dyDescent="0.25">
      <c r="A453" s="12"/>
      <c r="B453" s="2"/>
      <c r="C453" s="3"/>
      <c r="D453" s="4"/>
      <c r="E453" s="16"/>
      <c r="F453" s="2"/>
      <c r="G453" s="5"/>
      <c r="H453" s="6"/>
      <c r="I453" s="7"/>
      <c r="J453" s="10"/>
      <c r="L453" s="13"/>
    </row>
    <row r="454" spans="1:12" x14ac:dyDescent="0.25">
      <c r="A454" s="12"/>
      <c r="B454" s="2"/>
      <c r="C454" s="3"/>
      <c r="D454" s="4"/>
      <c r="E454" s="16"/>
      <c r="F454" s="2"/>
      <c r="G454" s="5"/>
      <c r="H454" s="6"/>
      <c r="I454" s="7"/>
      <c r="J454" s="10"/>
      <c r="L454" s="13"/>
    </row>
    <row r="455" spans="1:12" x14ac:dyDescent="0.25">
      <c r="A455" s="12"/>
      <c r="B455" s="2"/>
      <c r="C455" s="3"/>
      <c r="D455" s="4"/>
      <c r="E455" s="16"/>
      <c r="F455" s="2"/>
      <c r="G455" s="5"/>
      <c r="H455" s="6"/>
      <c r="I455" s="7"/>
      <c r="J455" s="10"/>
      <c r="L455" s="13"/>
    </row>
    <row r="456" spans="1:12" x14ac:dyDescent="0.25">
      <c r="A456" s="12"/>
      <c r="B456" s="2"/>
      <c r="C456" s="3"/>
      <c r="D456" s="4"/>
      <c r="E456" s="16"/>
      <c r="F456" s="2"/>
      <c r="G456" s="5"/>
      <c r="H456" s="6"/>
      <c r="I456" s="7"/>
      <c r="J456" s="10"/>
      <c r="L456" s="13"/>
    </row>
    <row r="457" spans="1:12" x14ac:dyDescent="0.25">
      <c r="A457" s="12"/>
      <c r="B457" s="2"/>
      <c r="C457" s="3"/>
      <c r="D457" s="4"/>
      <c r="E457" s="16"/>
      <c r="F457" s="2"/>
      <c r="G457" s="5"/>
      <c r="H457" s="6"/>
      <c r="I457" s="7"/>
      <c r="J457" s="10"/>
      <c r="L457" s="13"/>
    </row>
    <row r="458" spans="1:12" x14ac:dyDescent="0.25">
      <c r="A458" s="12"/>
      <c r="B458" s="2"/>
      <c r="C458" s="3"/>
      <c r="D458" s="4"/>
      <c r="E458" s="16"/>
      <c r="F458" s="2"/>
      <c r="G458" s="5"/>
      <c r="H458" s="6"/>
      <c r="I458" s="7"/>
      <c r="J458" s="10"/>
      <c r="L458" s="13"/>
    </row>
    <row r="459" spans="1:12" x14ac:dyDescent="0.25">
      <c r="A459" s="12"/>
      <c r="B459" s="2"/>
      <c r="C459" s="3"/>
      <c r="D459" s="4"/>
      <c r="E459" s="16"/>
      <c r="F459" s="2"/>
      <c r="G459" s="5"/>
      <c r="H459" s="6"/>
      <c r="I459" s="7"/>
      <c r="J459" s="10"/>
      <c r="L459" s="13"/>
    </row>
    <row r="460" spans="1:12" x14ac:dyDescent="0.25">
      <c r="A460" s="12"/>
      <c r="B460" s="2"/>
      <c r="C460" s="3"/>
      <c r="D460" s="4"/>
      <c r="E460" s="16"/>
      <c r="F460" s="2"/>
      <c r="G460" s="5"/>
      <c r="H460" s="6"/>
      <c r="I460" s="7"/>
      <c r="J460" s="10"/>
      <c r="L460" s="13"/>
    </row>
    <row r="461" spans="1:12" x14ac:dyDescent="0.25">
      <c r="A461" s="12"/>
      <c r="B461" s="2"/>
      <c r="C461" s="3"/>
      <c r="D461" s="4"/>
      <c r="E461" s="16"/>
      <c r="F461" s="2"/>
      <c r="G461" s="5"/>
      <c r="H461" s="6"/>
      <c r="I461" s="7"/>
      <c r="J461" s="10"/>
      <c r="L461" s="13"/>
    </row>
    <row r="462" spans="1:12" x14ac:dyDescent="0.25">
      <c r="A462" s="12"/>
      <c r="B462" s="2"/>
      <c r="C462" s="3"/>
      <c r="D462" s="4"/>
      <c r="E462" s="16"/>
      <c r="F462" s="2"/>
      <c r="G462" s="5"/>
      <c r="H462" s="6"/>
      <c r="I462" s="7"/>
      <c r="J462" s="10"/>
      <c r="L462" s="13"/>
    </row>
    <row r="463" spans="1:12" x14ac:dyDescent="0.25">
      <c r="A463" s="12"/>
      <c r="B463" s="2"/>
      <c r="C463" s="3"/>
      <c r="D463" s="4"/>
      <c r="E463" s="16"/>
      <c r="F463" s="2"/>
      <c r="G463" s="5"/>
      <c r="H463" s="6"/>
      <c r="I463" s="7"/>
      <c r="J463" s="10"/>
      <c r="L463" s="13"/>
    </row>
    <row r="464" spans="1:12" x14ac:dyDescent="0.25">
      <c r="A464" s="12"/>
      <c r="B464" s="2"/>
      <c r="C464" s="3"/>
      <c r="D464" s="4"/>
      <c r="E464" s="17"/>
      <c r="F464" s="2"/>
      <c r="G464" s="5"/>
      <c r="H464" s="6"/>
      <c r="I464" s="7"/>
      <c r="J464" s="10"/>
      <c r="L464" s="13"/>
    </row>
    <row r="465" spans="1:14" x14ac:dyDescent="0.25">
      <c r="A465" s="12"/>
      <c r="B465" s="2"/>
      <c r="C465" s="3"/>
      <c r="D465" s="4"/>
      <c r="E465" s="16"/>
      <c r="F465" s="2"/>
      <c r="G465" s="5"/>
      <c r="H465" s="6"/>
      <c r="I465" s="7"/>
      <c r="J465" s="10"/>
      <c r="L465" s="13"/>
    </row>
    <row r="466" spans="1:14" x14ac:dyDescent="0.25">
      <c r="A466" s="12"/>
      <c r="B466" s="2"/>
      <c r="C466" s="3"/>
      <c r="D466" s="4"/>
      <c r="E466" s="16"/>
      <c r="F466" s="2"/>
      <c r="G466" s="5"/>
      <c r="H466" s="6"/>
      <c r="I466" s="7"/>
      <c r="J466" s="10"/>
      <c r="L466" s="13"/>
    </row>
    <row r="467" spans="1:14" x14ac:dyDescent="0.25">
      <c r="A467" s="12"/>
      <c r="B467" s="2"/>
      <c r="C467" s="3"/>
      <c r="D467" s="4"/>
      <c r="E467" s="16"/>
      <c r="F467" s="2"/>
      <c r="G467" s="5"/>
      <c r="H467" s="6"/>
      <c r="I467" s="7"/>
      <c r="J467" s="10"/>
      <c r="L467" s="13"/>
    </row>
    <row r="468" spans="1:14" x14ac:dyDescent="0.25">
      <c r="A468" s="12"/>
      <c r="B468" s="2"/>
      <c r="C468" s="3"/>
      <c r="D468" s="4"/>
      <c r="E468" s="16"/>
      <c r="F468" s="2"/>
      <c r="G468" s="5"/>
      <c r="H468" s="6"/>
      <c r="I468" s="7"/>
      <c r="J468" s="10"/>
      <c r="L468" s="13"/>
    </row>
    <row r="469" spans="1:14" x14ac:dyDescent="0.25">
      <c r="A469" s="12"/>
      <c r="B469" s="2"/>
      <c r="C469" s="3"/>
      <c r="D469" s="4"/>
      <c r="E469" s="16"/>
      <c r="F469" s="2"/>
      <c r="G469" s="5"/>
      <c r="H469" s="6"/>
      <c r="I469" s="7"/>
      <c r="J469" s="10"/>
      <c r="L469" s="13"/>
    </row>
    <row r="470" spans="1:14" x14ac:dyDescent="0.25">
      <c r="A470" s="12"/>
      <c r="B470" s="2"/>
      <c r="C470" s="3"/>
      <c r="D470" s="4"/>
      <c r="E470" s="16"/>
      <c r="F470" s="2"/>
      <c r="G470" s="5"/>
      <c r="H470" s="6"/>
      <c r="I470" s="7"/>
      <c r="J470" s="10"/>
      <c r="K470" t="str">
        <f>HYPERLINK("http://www8.mpce.mp.br/Empenhos/150501/NE/2024NE000470.pdf","2024NE000470")</f>
        <v>2024NE000470</v>
      </c>
      <c r="L470" s="13">
        <v>161000</v>
      </c>
      <c r="M470" t="s">
        <v>55</v>
      </c>
      <c r="N470">
        <v>15664649000184</v>
      </c>
    </row>
    <row r="471" spans="1:14" x14ac:dyDescent="0.25">
      <c r="A471" s="12"/>
      <c r="B471" s="2"/>
      <c r="C471" s="3"/>
      <c r="D471" s="4"/>
      <c r="E471" s="16"/>
      <c r="F471" s="2"/>
      <c r="G471" s="5"/>
      <c r="H471" s="6"/>
      <c r="I471" s="7"/>
      <c r="J471" s="10"/>
      <c r="K471" t="str">
        <f>HYPERLINK("http://www8.mpce.mp.br/Empenhos/150501/NE/2024NE000472.pdf","2024NE000472")</f>
        <v>2024NE000472</v>
      </c>
      <c r="L471">
        <v>46.43</v>
      </c>
      <c r="M471" t="s">
        <v>82</v>
      </c>
      <c r="N471">
        <v>46950052391</v>
      </c>
    </row>
    <row r="472" spans="1:14" x14ac:dyDescent="0.25">
      <c r="A472" s="12"/>
      <c r="B472" s="2"/>
      <c r="C472" s="3"/>
      <c r="D472" s="4"/>
      <c r="E472" s="16"/>
      <c r="F472" s="2"/>
      <c r="G472" s="5"/>
      <c r="H472" s="6"/>
      <c r="I472" s="7"/>
      <c r="J472" s="10"/>
      <c r="K472" t="str">
        <f>HYPERLINK("http://www8.mpce.mp.br/Empenhos/150501/NE/2024NE000473.pdf","2024NE000473")</f>
        <v>2024NE000473</v>
      </c>
      <c r="L472" s="13">
        <v>3302.3</v>
      </c>
      <c r="M472" t="s">
        <v>39</v>
      </c>
      <c r="N472">
        <v>50937197300</v>
      </c>
    </row>
    <row r="473" spans="1:14" x14ac:dyDescent="0.25">
      <c r="A473" s="12"/>
      <c r="B473" s="2"/>
      <c r="C473" s="3"/>
      <c r="D473" s="4"/>
      <c r="E473" s="16"/>
      <c r="F473" s="2"/>
      <c r="G473" s="5"/>
      <c r="H473" s="6"/>
      <c r="I473" s="7"/>
      <c r="J473" s="10"/>
      <c r="K473" t="str">
        <f>HYPERLINK("http://www8.mpce.mp.br/Empenhos/150501/NE/2024NE000474.pdf","2024NE000474")</f>
        <v>2024NE000474</v>
      </c>
      <c r="L473">
        <v>26</v>
      </c>
      <c r="M473" t="s">
        <v>39</v>
      </c>
      <c r="N473">
        <v>50937197300</v>
      </c>
    </row>
    <row r="474" spans="1:14" x14ac:dyDescent="0.25">
      <c r="A474" s="12"/>
      <c r="B474" s="2"/>
      <c r="C474" s="3"/>
      <c r="D474" s="4"/>
      <c r="E474" s="16"/>
      <c r="F474" s="2"/>
      <c r="G474" s="5"/>
      <c r="H474" s="6"/>
      <c r="I474" s="7"/>
      <c r="J474" s="10"/>
      <c r="K474" t="str">
        <f>HYPERLINK("http://www8.mpce.mp.br/Empenhos/150501/NE/2024NE000475.pdf","2024NE000475")</f>
        <v>2024NE000475</v>
      </c>
      <c r="L474" s="13">
        <v>2619.0100000000002</v>
      </c>
      <c r="M474" t="s">
        <v>29</v>
      </c>
      <c r="N474">
        <v>5569807000163</v>
      </c>
    </row>
    <row r="475" spans="1:14" x14ac:dyDescent="0.25">
      <c r="A475" s="12"/>
      <c r="B475" s="2"/>
      <c r="C475" s="3"/>
      <c r="D475" s="4"/>
      <c r="E475" s="16"/>
      <c r="F475" s="2"/>
      <c r="G475" s="5"/>
      <c r="H475" s="6"/>
      <c r="I475" s="7"/>
      <c r="J475" s="10"/>
      <c r="K475" t="str">
        <f>HYPERLINK("http://www8.mpce.mp.br/Empenhos/150501/NE/2024NE000476.pdf","2024NE000476")</f>
        <v>2024NE000476</v>
      </c>
      <c r="L475" s="13">
        <v>1585.98</v>
      </c>
      <c r="M475" t="s">
        <v>20</v>
      </c>
      <c r="N475">
        <v>11710431000168</v>
      </c>
    </row>
    <row r="476" spans="1:14" x14ac:dyDescent="0.25">
      <c r="A476" s="12"/>
      <c r="B476" s="2"/>
      <c r="C476" s="3"/>
      <c r="D476" s="4"/>
      <c r="E476" s="16"/>
      <c r="F476" s="2"/>
      <c r="G476" s="5"/>
      <c r="H476" s="6"/>
      <c r="I476" s="7"/>
      <c r="J476" s="10"/>
      <c r="K476" t="str">
        <f>HYPERLINK("http://www8.mpce.mp.br/Empenhos/150001/NE/2024NE000476.pdf","2024NE000476")</f>
        <v>2024NE000476</v>
      </c>
      <c r="L476" s="13">
        <v>29700</v>
      </c>
      <c r="M476" t="s">
        <v>95</v>
      </c>
      <c r="N476">
        <v>36418009000164</v>
      </c>
    </row>
    <row r="477" spans="1:14" x14ac:dyDescent="0.25">
      <c r="A477" s="12"/>
      <c r="B477" s="2"/>
      <c r="C477" s="3"/>
      <c r="D477" s="4"/>
      <c r="E477" s="16"/>
      <c r="F477" s="2"/>
      <c r="G477" s="5"/>
      <c r="H477" s="6"/>
      <c r="I477" s="7"/>
      <c r="J477" s="10"/>
      <c r="K477" t="str">
        <f>HYPERLINK("http://www8.mpce.mp.br/Empenhos/150501/NE/2024NE000481.pdf","2024NE000481")</f>
        <v>2024NE000481</v>
      </c>
      <c r="L477" s="13">
        <v>20105.18</v>
      </c>
      <c r="M477" t="s">
        <v>21</v>
      </c>
      <c r="N477">
        <v>44114554000195</v>
      </c>
    </row>
    <row r="478" spans="1:14" x14ac:dyDescent="0.25">
      <c r="A478" s="12"/>
      <c r="B478" s="2"/>
      <c r="C478" s="3"/>
      <c r="D478" s="4"/>
      <c r="E478" s="16"/>
      <c r="F478" s="2"/>
      <c r="G478" s="5"/>
      <c r="H478" s="6"/>
      <c r="I478" s="7"/>
      <c r="J478" s="10"/>
      <c r="K478" t="str">
        <f>HYPERLINK("http://www8.mpce.mp.br/Empenhos/150501/NE/2024NE000485.pdf","2024NE000485")</f>
        <v>2024NE000485</v>
      </c>
      <c r="L478" s="13">
        <v>27224</v>
      </c>
      <c r="M478" t="s">
        <v>23</v>
      </c>
      <c r="N478">
        <v>32697604000125</v>
      </c>
    </row>
    <row r="479" spans="1:14" x14ac:dyDescent="0.25">
      <c r="A479" s="12"/>
      <c r="B479" s="2"/>
      <c r="C479" s="3"/>
      <c r="D479" s="4"/>
      <c r="E479" s="16"/>
      <c r="F479" s="2"/>
      <c r="G479" s="5"/>
      <c r="H479" s="6"/>
      <c r="I479" s="7"/>
      <c r="J479" s="10"/>
      <c r="K479" t="str">
        <f>HYPERLINK("http://www8.mpce.mp.br/Empenhos/150501/NE/2024NE000486.pdf","2024NE000486")</f>
        <v>2024NE000486</v>
      </c>
      <c r="L479" s="13">
        <v>4683.9399999999996</v>
      </c>
      <c r="M479" t="s">
        <v>82</v>
      </c>
      <c r="N479">
        <v>46950052391</v>
      </c>
    </row>
    <row r="480" spans="1:14" x14ac:dyDescent="0.25">
      <c r="A480" s="12"/>
      <c r="B480" s="2"/>
      <c r="C480" s="3"/>
      <c r="D480" s="4"/>
      <c r="E480" s="16"/>
      <c r="F480" s="2"/>
      <c r="G480" s="5"/>
      <c r="H480" s="6"/>
      <c r="I480" s="7"/>
      <c r="J480" s="10"/>
      <c r="K480" t="str">
        <f>HYPERLINK("http://www8.mpce.mp.br/Empenhos/150501/NE/2024NE000487.pdf","2024NE000487")</f>
        <v>2024NE000487</v>
      </c>
      <c r="L480" s="13">
        <v>8683.1200000000008</v>
      </c>
      <c r="M480" t="s">
        <v>83</v>
      </c>
      <c r="N480">
        <v>18904432391</v>
      </c>
    </row>
    <row r="481" spans="1:14" x14ac:dyDescent="0.25">
      <c r="A481" s="12"/>
      <c r="B481" s="2"/>
      <c r="C481" s="3"/>
      <c r="D481" s="4"/>
      <c r="E481" s="16"/>
      <c r="F481" s="2"/>
      <c r="G481" s="5"/>
      <c r="H481" s="6"/>
      <c r="I481" s="7"/>
      <c r="J481" s="10"/>
      <c r="K481" t="str">
        <f>HYPERLINK("http://www8.mpce.mp.br/Empenhos/150501/NE/2024NE000488.pdf","2024NE000488")</f>
        <v>2024NE000488</v>
      </c>
      <c r="L481" s="13">
        <v>52000.2</v>
      </c>
      <c r="M481" t="s">
        <v>21</v>
      </c>
      <c r="N481">
        <v>44114554000195</v>
      </c>
    </row>
    <row r="482" spans="1:14" x14ac:dyDescent="0.25">
      <c r="A482" s="12"/>
      <c r="B482" s="2"/>
      <c r="C482" s="3"/>
      <c r="D482" s="4"/>
      <c r="E482" s="16"/>
      <c r="F482" s="2"/>
      <c r="G482" s="5"/>
      <c r="H482" s="6"/>
      <c r="I482" s="7"/>
      <c r="J482" s="10"/>
      <c r="K482" t="str">
        <f>HYPERLINK("http://www8.mpce.mp.br/Empenhos/150501/NE/2024NE000489.pdf","2024NE000489")</f>
        <v>2024NE000489</v>
      </c>
      <c r="L482" s="13">
        <v>4800</v>
      </c>
      <c r="M482" t="s">
        <v>35</v>
      </c>
      <c r="N482">
        <v>25876988391</v>
      </c>
    </row>
    <row r="483" spans="1:14" x14ac:dyDescent="0.25">
      <c r="A483" s="12"/>
      <c r="B483" s="2"/>
      <c r="C483" s="3"/>
      <c r="D483" s="4"/>
      <c r="E483" s="16"/>
      <c r="F483" s="2"/>
      <c r="G483" s="5"/>
      <c r="H483" s="6"/>
      <c r="I483" s="7"/>
      <c r="J483" s="10"/>
      <c r="K483" t="str">
        <f>HYPERLINK("http://www8.mpce.mp.br/Empenhos/150501/NE/2024NE000490.pdf","2024NE000490")</f>
        <v>2024NE000490</v>
      </c>
      <c r="L483" s="13">
        <v>7794.48</v>
      </c>
      <c r="M483" t="s">
        <v>48</v>
      </c>
      <c r="N483">
        <v>1728735335</v>
      </c>
    </row>
    <row r="484" spans="1:14" x14ac:dyDescent="0.25">
      <c r="A484" s="12"/>
      <c r="B484" s="2"/>
      <c r="C484" s="3"/>
      <c r="D484" s="4"/>
      <c r="E484" s="16"/>
      <c r="F484" s="2"/>
      <c r="G484" s="5"/>
      <c r="H484" s="6"/>
      <c r="I484" s="7"/>
      <c r="J484" s="10"/>
      <c r="K484" t="str">
        <f>HYPERLINK("http://www8.mpce.mp.br/Empenhos/150501/NE/2024NE000491.pdf","2024NE000491")</f>
        <v>2024NE000491</v>
      </c>
      <c r="L484" s="13">
        <v>132322.82</v>
      </c>
      <c r="M484" t="s">
        <v>20</v>
      </c>
      <c r="N484">
        <v>11710431000168</v>
      </c>
    </row>
    <row r="485" spans="1:14" x14ac:dyDescent="0.25">
      <c r="A485" s="12"/>
      <c r="B485" s="2"/>
      <c r="C485" s="3"/>
      <c r="D485" s="4"/>
      <c r="E485" s="16"/>
      <c r="F485" s="2"/>
      <c r="G485" s="5"/>
      <c r="H485" s="6"/>
      <c r="I485" s="7"/>
      <c r="J485" s="10"/>
      <c r="K485" t="str">
        <f>HYPERLINK("http://www8.mpce.mp.br/Empenhos/150501/NE/2024NE000495.pdf","2024NE000495")</f>
        <v>2024NE000495</v>
      </c>
      <c r="L485" s="13">
        <v>4192.49</v>
      </c>
      <c r="M485" t="s">
        <v>21</v>
      </c>
      <c r="N485">
        <v>44114554000195</v>
      </c>
    </row>
    <row r="486" spans="1:14" x14ac:dyDescent="0.25">
      <c r="A486" s="12"/>
      <c r="B486" s="2"/>
      <c r="C486" s="3"/>
      <c r="D486" s="4"/>
      <c r="E486" s="16"/>
      <c r="F486" s="2"/>
      <c r="G486" s="5"/>
      <c r="H486" s="6"/>
      <c r="I486" s="7"/>
      <c r="J486" s="10"/>
      <c r="K486" t="str">
        <f>HYPERLINK("http://www8.mpce.mp.br/Empenhos/150501/NE/2024NE000496.pdf","2024NE000496")</f>
        <v>2024NE000496</v>
      </c>
      <c r="L486" s="13">
        <v>162760</v>
      </c>
      <c r="M486" t="s">
        <v>34</v>
      </c>
      <c r="N486">
        <v>8918421000108</v>
      </c>
    </row>
    <row r="487" spans="1:14" x14ac:dyDescent="0.25">
      <c r="A487" s="12"/>
      <c r="B487" s="2"/>
      <c r="C487" s="3"/>
      <c r="D487" s="4"/>
      <c r="E487" s="16"/>
      <c r="F487" s="2"/>
      <c r="G487" s="5"/>
      <c r="H487" s="6"/>
      <c r="I487" s="7"/>
      <c r="J487" s="10"/>
      <c r="K487" t="str">
        <f>HYPERLINK("http://www8.mpce.mp.br/Empenhos/150501/NE/2024NE000503.pdf","2024NE000503")</f>
        <v>2024NE000503</v>
      </c>
      <c r="L487">
        <v>83.51</v>
      </c>
      <c r="M487" t="s">
        <v>91</v>
      </c>
      <c r="N487">
        <v>20941439372</v>
      </c>
    </row>
    <row r="488" spans="1:14" x14ac:dyDescent="0.25">
      <c r="A488" s="12"/>
      <c r="B488" s="2"/>
      <c r="C488" s="3"/>
      <c r="D488" s="4"/>
      <c r="E488" s="16"/>
      <c r="F488" s="2"/>
      <c r="G488" s="5"/>
      <c r="H488" s="6"/>
      <c r="I488" s="7"/>
      <c r="J488" s="10"/>
      <c r="K488" t="str">
        <f>HYPERLINK("http://www8.mpce.mp.br/Empenhos/150501/NE/2024NE000505.pdf","2024NE000505")</f>
        <v>2024NE000505</v>
      </c>
      <c r="L488" s="13">
        <v>36096.6</v>
      </c>
      <c r="M488" t="s">
        <v>54</v>
      </c>
      <c r="N488">
        <v>33372251006600</v>
      </c>
    </row>
    <row r="489" spans="1:14" x14ac:dyDescent="0.25">
      <c r="A489" s="12"/>
      <c r="B489" s="2"/>
      <c r="C489" s="3"/>
      <c r="D489" s="4"/>
      <c r="E489" s="16"/>
      <c r="F489" s="2"/>
      <c r="G489" s="5"/>
      <c r="H489" s="6"/>
      <c r="I489" s="7"/>
      <c r="J489" s="10"/>
      <c r="K489" t="str">
        <f>HYPERLINK("http://www8.mpce.mp.br/Empenhos/150001/NE/2024NE000506.pdf","2024NE000506")</f>
        <v>2024NE000506</v>
      </c>
      <c r="L489" s="13">
        <v>6230.5</v>
      </c>
      <c r="M489" t="s">
        <v>96</v>
      </c>
      <c r="N489">
        <v>4566342000124</v>
      </c>
    </row>
    <row r="490" spans="1:14" x14ac:dyDescent="0.25">
      <c r="A490" s="12"/>
      <c r="B490" s="2"/>
      <c r="C490" s="3"/>
      <c r="D490" s="4"/>
      <c r="E490" s="16"/>
      <c r="F490" s="2"/>
      <c r="G490" s="5"/>
      <c r="H490" s="6"/>
      <c r="I490" s="7"/>
      <c r="J490" s="10"/>
      <c r="K490" t="str">
        <f>HYPERLINK("http://www8.mpce.mp.br/Empenhos/150501/NE/2024NE000506.pdf","2024NE000506")</f>
        <v>2024NE000506</v>
      </c>
      <c r="L490" s="13">
        <v>16670.400000000001</v>
      </c>
      <c r="M490" t="s">
        <v>54</v>
      </c>
      <c r="N490">
        <v>33372251006600</v>
      </c>
    </row>
    <row r="491" spans="1:14" x14ac:dyDescent="0.25">
      <c r="A491" s="12"/>
      <c r="B491" s="2"/>
      <c r="C491" s="3"/>
      <c r="D491" s="4"/>
      <c r="E491" s="16"/>
      <c r="F491" s="2"/>
      <c r="G491" s="5"/>
      <c r="H491" s="6"/>
      <c r="I491" s="7"/>
      <c r="J491" s="10"/>
      <c r="K491" t="str">
        <f>HYPERLINK("http://www8.mpce.mp.br/Empenhos/150001/NE/2024NE000508.pdf","2024NE000508")</f>
        <v>2024NE000508</v>
      </c>
      <c r="L491" s="13">
        <v>5400</v>
      </c>
      <c r="M491" t="s">
        <v>97</v>
      </c>
      <c r="N491">
        <v>11517150000193</v>
      </c>
    </row>
    <row r="492" spans="1:14" x14ac:dyDescent="0.25">
      <c r="A492" s="12"/>
      <c r="B492" s="2"/>
      <c r="C492" s="3"/>
      <c r="D492" s="4"/>
      <c r="E492" s="16"/>
      <c r="F492" s="2"/>
      <c r="G492" s="5"/>
      <c r="H492" s="6"/>
      <c r="I492" s="7"/>
      <c r="J492" s="10"/>
      <c r="K492" t="str">
        <f>HYPERLINK("http://www8.mpce.mp.br/Empenhos/150501/NE/2024NE000515.pdf","2024NE000515")</f>
        <v>2024NE000515</v>
      </c>
      <c r="L492">
        <v>170.18</v>
      </c>
      <c r="M492" t="s">
        <v>90</v>
      </c>
      <c r="N492">
        <v>77748638349</v>
      </c>
    </row>
    <row r="493" spans="1:14" x14ac:dyDescent="0.25">
      <c r="A493" s="12"/>
      <c r="B493" s="2"/>
      <c r="C493" s="3"/>
      <c r="D493" s="4"/>
      <c r="E493" s="16"/>
      <c r="F493" s="2"/>
      <c r="G493" s="5"/>
      <c r="H493" s="6"/>
      <c r="I493" s="7"/>
      <c r="J493" s="10"/>
      <c r="K493" t="str">
        <f>HYPERLINK("http://www8.mpce.mp.br/Empenhos/150501/NE/2024NE000523.pdf","2024NE000523")</f>
        <v>2024NE000523</v>
      </c>
      <c r="L493">
        <v>938.24</v>
      </c>
      <c r="M493" t="s">
        <v>36</v>
      </c>
      <c r="N493">
        <v>34123367852</v>
      </c>
    </row>
    <row r="494" spans="1:14" x14ac:dyDescent="0.25">
      <c r="A494" s="12"/>
      <c r="B494" s="2"/>
      <c r="C494" s="3"/>
      <c r="D494" s="4"/>
      <c r="E494" s="16"/>
      <c r="F494" s="2"/>
      <c r="G494" s="5"/>
      <c r="H494" s="6"/>
      <c r="I494" s="7"/>
      <c r="J494" s="10"/>
      <c r="K494" t="str">
        <f>HYPERLINK("http://www8.mpce.mp.br/Empenhos/150501/NE/2024NE000524.pdf","2024NE000524")</f>
        <v>2024NE000524</v>
      </c>
      <c r="L494" s="13">
        <v>71437.03</v>
      </c>
      <c r="M494" t="s">
        <v>50</v>
      </c>
      <c r="N494">
        <v>3773788000167</v>
      </c>
    </row>
    <row r="495" spans="1:14" x14ac:dyDescent="0.25">
      <c r="A495" s="12"/>
      <c r="B495" s="2"/>
      <c r="C495" s="3"/>
      <c r="D495" s="4"/>
      <c r="E495" s="16"/>
      <c r="F495" s="2"/>
      <c r="G495" s="5"/>
      <c r="H495" s="6"/>
      <c r="I495" s="7"/>
      <c r="J495" s="10"/>
      <c r="K495" t="str">
        <f>HYPERLINK("http://www8.mpce.mp.br/Empenhos/150501/NE/2024NE000524.pdf","2024NE000524")</f>
        <v>2024NE000524</v>
      </c>
      <c r="L495" s="13">
        <v>71437.03</v>
      </c>
      <c r="M495" t="s">
        <v>50</v>
      </c>
      <c r="N495">
        <v>3773788000167</v>
      </c>
    </row>
    <row r="496" spans="1:14" x14ac:dyDescent="0.25">
      <c r="A496" s="12"/>
      <c r="B496" s="2"/>
      <c r="C496" s="3"/>
      <c r="D496" s="4"/>
      <c r="E496" s="16"/>
      <c r="F496" s="2"/>
      <c r="G496" s="5"/>
      <c r="H496" s="6"/>
      <c r="I496" s="7"/>
      <c r="J496" s="10"/>
      <c r="K496" t="str">
        <f>HYPERLINK("http://www8.mpce.mp.br/Empenhos/150501/NE/2024NE000524.pdf","2024NE000524")</f>
        <v>2024NE000524</v>
      </c>
      <c r="L496" s="13">
        <v>71437.03</v>
      </c>
      <c r="M496" t="s">
        <v>50</v>
      </c>
      <c r="N496">
        <v>3773788000167</v>
      </c>
    </row>
    <row r="497" spans="1:14" x14ac:dyDescent="0.25">
      <c r="A497" s="12"/>
      <c r="B497" s="2"/>
      <c r="C497" s="3"/>
      <c r="D497" s="4"/>
      <c r="E497" s="16"/>
      <c r="F497" s="2"/>
      <c r="G497" s="5"/>
      <c r="H497" s="6"/>
      <c r="I497" s="7"/>
      <c r="J497" s="10"/>
      <c r="K497" t="str">
        <f>HYPERLINK("http://www8.mpce.mp.br/Empenhos/150501/NE/2024NE000524.pdf","2024NE000524")</f>
        <v>2024NE000524</v>
      </c>
      <c r="L497" s="13">
        <v>71437.03</v>
      </c>
      <c r="M497" t="s">
        <v>50</v>
      </c>
      <c r="N497">
        <v>3773788000167</v>
      </c>
    </row>
    <row r="498" spans="1:14" x14ac:dyDescent="0.25">
      <c r="A498" s="12"/>
      <c r="B498" s="2"/>
      <c r="C498" s="3"/>
      <c r="D498" s="4"/>
      <c r="E498" s="16"/>
      <c r="F498" s="2"/>
      <c r="G498" s="5"/>
      <c r="H498" s="6"/>
      <c r="I498" s="7"/>
      <c r="J498" s="10"/>
      <c r="K498" t="str">
        <f>HYPERLINK("http://www8.mpce.mp.br/Empenhos/150001/NE/2024NE000528.pdf","2024NE000528")</f>
        <v>2024NE000528</v>
      </c>
      <c r="L498" s="13">
        <v>3479</v>
      </c>
      <c r="M498" t="s">
        <v>98</v>
      </c>
      <c r="N498">
        <v>51739136000159</v>
      </c>
    </row>
    <row r="499" spans="1:14" x14ac:dyDescent="0.25">
      <c r="A499" s="12"/>
      <c r="B499" s="2"/>
      <c r="C499" s="3"/>
      <c r="D499" s="4"/>
      <c r="E499" s="16"/>
      <c r="F499" s="2"/>
      <c r="G499" s="5"/>
      <c r="H499" s="6"/>
      <c r="I499" s="7"/>
      <c r="J499" s="10"/>
      <c r="K499" t="str">
        <f>HYPERLINK("http://www8.mpce.mp.br/Empenhos/150001/NE/2024NE000529.pdf","2024NE000529")</f>
        <v>2024NE000529</v>
      </c>
      <c r="L499" s="13">
        <v>31055</v>
      </c>
      <c r="M499" t="s">
        <v>51</v>
      </c>
      <c r="N499">
        <v>7341423000114</v>
      </c>
    </row>
    <row r="500" spans="1:14" x14ac:dyDescent="0.25">
      <c r="A500" s="12"/>
      <c r="B500" s="2"/>
      <c r="C500" s="3"/>
      <c r="D500" s="4"/>
      <c r="E500" s="16"/>
      <c r="F500" s="2"/>
      <c r="G500" s="5"/>
      <c r="H500" s="6"/>
      <c r="I500" s="7"/>
      <c r="J500" s="10"/>
      <c r="K500" t="str">
        <f>HYPERLINK("http://www8.mpce.mp.br/Empenhos/150501/NE/2024NE000534.pdf","2024NE000534")</f>
        <v>2024NE000534</v>
      </c>
      <c r="L500" s="13">
        <v>14000</v>
      </c>
      <c r="M500" t="s">
        <v>93</v>
      </c>
      <c r="N500">
        <v>29417319000107</v>
      </c>
    </row>
    <row r="501" spans="1:14" x14ac:dyDescent="0.25">
      <c r="A501" s="12"/>
      <c r="B501" s="2"/>
      <c r="C501" s="3"/>
      <c r="D501" s="4"/>
      <c r="E501" s="16"/>
      <c r="F501" s="2"/>
      <c r="G501" s="5"/>
      <c r="H501" s="6"/>
      <c r="I501" s="7"/>
      <c r="J501" s="10"/>
      <c r="K501" t="str">
        <f>HYPERLINK("http://www8.mpce.mp.br/Empenhos/150501/NE/2024NE000535.pdf","2024NE000535")</f>
        <v>2024NE000535</v>
      </c>
      <c r="L501" s="13">
        <v>13200</v>
      </c>
      <c r="M501" t="s">
        <v>53</v>
      </c>
      <c r="N501">
        <v>44231385000173</v>
      </c>
    </row>
    <row r="502" spans="1:14" x14ac:dyDescent="0.25">
      <c r="A502" s="12"/>
      <c r="B502" s="2"/>
      <c r="C502" s="3"/>
      <c r="D502" s="4"/>
      <c r="E502" s="16"/>
      <c r="F502" s="2"/>
      <c r="G502" s="5"/>
      <c r="H502" s="6"/>
      <c r="I502" s="7"/>
      <c r="J502" s="10"/>
      <c r="K502" t="str">
        <f>HYPERLINK("http://www8.mpce.mp.br/Empenhos/150501/NE/2024NE000536.pdf","2024NE000536")</f>
        <v>2024NE000536</v>
      </c>
      <c r="L502" s="13">
        <v>18000</v>
      </c>
      <c r="M502" t="s">
        <v>76</v>
      </c>
      <c r="N502">
        <v>48444032000102</v>
      </c>
    </row>
    <row r="503" spans="1:14" x14ac:dyDescent="0.25">
      <c r="A503" s="12"/>
      <c r="B503" s="2"/>
      <c r="C503" s="3"/>
      <c r="D503" s="4"/>
      <c r="E503" s="16"/>
      <c r="F503" s="2"/>
      <c r="G503" s="5"/>
      <c r="H503" s="6"/>
      <c r="I503" s="7"/>
      <c r="J503" s="10"/>
      <c r="K503" t="str">
        <f>HYPERLINK("http://www8.mpce.mp.br/Empenhos/150501/NE/2024NE000537.pdf","2024NE000537")</f>
        <v>2024NE000537</v>
      </c>
      <c r="L503" s="13">
        <v>14180</v>
      </c>
      <c r="M503" t="s">
        <v>23</v>
      </c>
      <c r="N503">
        <v>32697604000125</v>
      </c>
    </row>
    <row r="504" spans="1:14" x14ac:dyDescent="0.25">
      <c r="A504" s="12"/>
      <c r="B504" s="2"/>
      <c r="C504" s="3"/>
      <c r="D504" s="4"/>
      <c r="E504" s="16"/>
      <c r="F504" s="2"/>
      <c r="G504" s="5"/>
      <c r="H504" s="6"/>
      <c r="I504" s="7"/>
      <c r="J504" s="10"/>
      <c r="K504" t="str">
        <f>HYPERLINK("http://www8.mpce.mp.br/Empenhos/150501/NE/2024NE000538.pdf","2024NE000538")</f>
        <v>2024NE000538</v>
      </c>
      <c r="L504" s="13">
        <v>13612</v>
      </c>
      <c r="M504" t="s">
        <v>23</v>
      </c>
      <c r="N504">
        <v>32697604000125</v>
      </c>
    </row>
    <row r="505" spans="1:14" x14ac:dyDescent="0.25">
      <c r="A505" s="12"/>
      <c r="B505" s="2"/>
      <c r="C505" s="3"/>
      <c r="D505" s="4"/>
      <c r="E505" s="16"/>
      <c r="F505" s="2"/>
      <c r="G505" s="5"/>
      <c r="H505" s="6"/>
      <c r="I505" s="7"/>
      <c r="J505" s="10"/>
      <c r="K505" t="str">
        <f>HYPERLINK("http://www8.mpce.mp.br/Empenhos/150501/NE/2024NE000539.pdf","2024NE000539")</f>
        <v>2024NE000539</v>
      </c>
      <c r="L505" s="13">
        <v>66161.41</v>
      </c>
      <c r="M505" t="s">
        <v>20</v>
      </c>
      <c r="N505">
        <v>11710431000168</v>
      </c>
    </row>
    <row r="506" spans="1:14" x14ac:dyDescent="0.25">
      <c r="A506" s="12"/>
      <c r="B506" s="2"/>
      <c r="C506" s="3"/>
      <c r="D506" s="4"/>
      <c r="E506" s="16"/>
      <c r="F506" s="2"/>
      <c r="G506" s="5"/>
      <c r="H506" s="6"/>
      <c r="I506" s="7"/>
      <c r="J506" s="10"/>
      <c r="K506" t="str">
        <f>HYPERLINK("http://www8.mpce.mp.br/Empenhos/150501/NE/2024NE000540.pdf","2024NE000540")</f>
        <v>2024NE000540</v>
      </c>
      <c r="L506" s="13">
        <v>26000.1</v>
      </c>
      <c r="M506" t="s">
        <v>21</v>
      </c>
      <c r="N506">
        <v>44114554000195</v>
      </c>
    </row>
    <row r="507" spans="1:14" x14ac:dyDescent="0.25">
      <c r="A507" s="12"/>
      <c r="B507" s="2"/>
      <c r="C507" s="3"/>
      <c r="D507" s="4"/>
      <c r="E507" s="16"/>
      <c r="F507" s="2"/>
      <c r="G507" s="5"/>
      <c r="H507" s="6"/>
      <c r="I507" s="7"/>
      <c r="J507" s="10"/>
      <c r="K507" t="str">
        <f>HYPERLINK("http://www8.mpce.mp.br/Empenhos/150501/NE/2024NE000541.pdf","2024NE000541")</f>
        <v>2024NE000541</v>
      </c>
      <c r="L507" s="13">
        <v>16434.259999999998</v>
      </c>
      <c r="M507" t="s">
        <v>20</v>
      </c>
      <c r="N507">
        <v>11710431000168</v>
      </c>
    </row>
    <row r="508" spans="1:14" x14ac:dyDescent="0.25">
      <c r="A508" s="12"/>
      <c r="B508" s="2"/>
      <c r="C508" s="3"/>
      <c r="D508" s="4"/>
      <c r="E508" s="16"/>
      <c r="F508" s="2"/>
      <c r="G508" s="5"/>
      <c r="H508" s="6"/>
      <c r="I508" s="7"/>
      <c r="J508" s="10"/>
      <c r="K508" t="str">
        <f>HYPERLINK("http://www8.mpce.mp.br/Empenhos/150501/NE/2024NE000542.pdf","2024NE000542")</f>
        <v>2024NE000542</v>
      </c>
      <c r="L508" s="13">
        <v>26000</v>
      </c>
      <c r="M508" t="s">
        <v>22</v>
      </c>
      <c r="N508">
        <v>14763826000117</v>
      </c>
    </row>
    <row r="509" spans="1:14" x14ac:dyDescent="0.25">
      <c r="A509" s="12"/>
      <c r="B509" s="2"/>
      <c r="C509" s="3"/>
      <c r="D509" s="4"/>
      <c r="E509" s="16"/>
      <c r="F509" s="2"/>
      <c r="G509" s="5"/>
      <c r="H509" s="6"/>
      <c r="I509" s="7"/>
      <c r="J509" s="10"/>
      <c r="K509" t="str">
        <f>HYPERLINK("http://www8.mpce.mp.br/Empenhos/150501/NE/2024NE000543.pdf","2024NE000543")</f>
        <v>2024NE000543</v>
      </c>
      <c r="L509" s="13">
        <v>33000</v>
      </c>
      <c r="M509" t="s">
        <v>58</v>
      </c>
      <c r="N509">
        <v>10489713000114</v>
      </c>
    </row>
    <row r="510" spans="1:14" x14ac:dyDescent="0.25">
      <c r="A510" s="12"/>
      <c r="B510" s="2"/>
      <c r="C510" s="3"/>
      <c r="D510" s="4"/>
      <c r="E510" s="16"/>
      <c r="F510" s="2"/>
      <c r="G510" s="5"/>
      <c r="H510" s="6"/>
      <c r="I510" s="7"/>
      <c r="J510" s="10"/>
      <c r="K510" t="str">
        <f>HYPERLINK("http://www8.mpce.mp.br/Empenhos/150501/NE/2024NE000544.pdf","2024NE000544")</f>
        <v>2024NE000544</v>
      </c>
      <c r="L510" s="13">
        <v>20900</v>
      </c>
      <c r="M510" t="s">
        <v>23</v>
      </c>
      <c r="N510">
        <v>32697604000125</v>
      </c>
    </row>
    <row r="511" spans="1:14" x14ac:dyDescent="0.25">
      <c r="A511" s="12"/>
      <c r="B511" s="2"/>
      <c r="C511" s="3"/>
      <c r="D511" s="4"/>
      <c r="E511" s="16"/>
      <c r="F511" s="2"/>
      <c r="G511" s="5"/>
      <c r="H511" s="6"/>
      <c r="I511" s="7"/>
      <c r="J511" s="10"/>
      <c r="K511" t="str">
        <f>HYPERLINK("http://www8.mpce.mp.br/Empenhos/150501/NE/2024NE000546.pdf","2024NE000546")</f>
        <v>2024NE000546</v>
      </c>
      <c r="L511" s="13">
        <v>18465</v>
      </c>
      <c r="M511" t="s">
        <v>24</v>
      </c>
      <c r="N511">
        <v>7936046000166</v>
      </c>
    </row>
    <row r="512" spans="1:14" x14ac:dyDescent="0.25">
      <c r="A512" s="12"/>
      <c r="B512" s="2"/>
      <c r="C512" s="3"/>
      <c r="D512" s="4"/>
      <c r="E512" s="16"/>
      <c r="F512" s="2"/>
      <c r="G512" s="5"/>
      <c r="H512" s="6"/>
      <c r="I512" s="7"/>
      <c r="J512" s="10"/>
      <c r="K512" t="str">
        <f>HYPERLINK("http://www8.mpce.mp.br/Empenhos/150501/NE/2024NE000547.pdf","2024NE000547")</f>
        <v>2024NE000547</v>
      </c>
      <c r="L512" s="13">
        <v>13486.5</v>
      </c>
      <c r="M512" t="s">
        <v>25</v>
      </c>
      <c r="N512">
        <v>53820857000114</v>
      </c>
    </row>
    <row r="513" spans="1:14" x14ac:dyDescent="0.25">
      <c r="A513" s="12"/>
      <c r="B513" s="2"/>
      <c r="C513" s="3"/>
      <c r="D513" s="4"/>
      <c r="E513" s="16"/>
      <c r="F513" s="2"/>
      <c r="G513" s="5"/>
      <c r="H513" s="6"/>
      <c r="I513" s="7"/>
      <c r="J513" s="10"/>
      <c r="K513" t="str">
        <f>HYPERLINK("http://www8.mpce.mp.br/Empenhos/150501/NE/2024NE000548.pdf","2024NE000548")</f>
        <v>2024NE000548</v>
      </c>
      <c r="L513" s="13">
        <v>18900</v>
      </c>
      <c r="M513" t="s">
        <v>23</v>
      </c>
      <c r="N513">
        <v>32697604000125</v>
      </c>
    </row>
    <row r="514" spans="1:14" x14ac:dyDescent="0.25">
      <c r="A514" s="12"/>
      <c r="B514" s="2"/>
      <c r="C514" s="3"/>
      <c r="D514" s="4"/>
      <c r="E514" s="16"/>
      <c r="F514" s="2"/>
      <c r="G514" s="5"/>
      <c r="H514" s="6"/>
      <c r="I514" s="7"/>
      <c r="J514" s="10"/>
      <c r="K514" t="str">
        <f>HYPERLINK("http://www8.mpce.mp.br/Empenhos/150501/NE/2024NE000549.pdf","2024NE000549")</f>
        <v>2024NE000549</v>
      </c>
      <c r="L514" s="13">
        <v>33400.11</v>
      </c>
      <c r="M514" t="s">
        <v>21</v>
      </c>
      <c r="N514">
        <v>44114554000195</v>
      </c>
    </row>
    <row r="515" spans="1:14" x14ac:dyDescent="0.25">
      <c r="A515" s="12"/>
      <c r="B515" s="2"/>
      <c r="C515" s="3"/>
      <c r="D515" s="4"/>
      <c r="E515" s="16"/>
      <c r="F515" s="2"/>
      <c r="G515" s="5"/>
      <c r="H515" s="6"/>
      <c r="I515" s="7"/>
      <c r="J515" s="10"/>
      <c r="K515" t="str">
        <f>HYPERLINK("http://www8.mpce.mp.br/Empenhos/150501/NE/2024NE000550.pdf","2024NE000550")</f>
        <v>2024NE000550</v>
      </c>
      <c r="L515" s="13">
        <v>24300</v>
      </c>
      <c r="M515" t="s">
        <v>99</v>
      </c>
      <c r="N515">
        <v>35076587000105</v>
      </c>
    </row>
    <row r="516" spans="1:14" x14ac:dyDescent="0.25">
      <c r="A516" s="12"/>
      <c r="B516" s="2"/>
      <c r="C516" s="3"/>
      <c r="D516" s="4"/>
      <c r="E516" s="16"/>
      <c r="F516" s="2"/>
      <c r="G516" s="5"/>
      <c r="H516" s="6"/>
      <c r="I516" s="7"/>
      <c r="J516" s="10"/>
      <c r="K516" t="str">
        <f>HYPERLINK("http://www8.mpce.mp.br/Empenhos/150501/NE/2024NE000550.pdf","2024NE000550")</f>
        <v>2024NE000550</v>
      </c>
      <c r="L516" s="13">
        <v>24300</v>
      </c>
      <c r="M516" t="s">
        <v>99</v>
      </c>
      <c r="N516">
        <v>35076587000105</v>
      </c>
    </row>
    <row r="517" spans="1:14" x14ac:dyDescent="0.25">
      <c r="A517" s="12"/>
      <c r="B517" s="2"/>
      <c r="C517" s="3"/>
      <c r="D517" s="4"/>
      <c r="E517" s="16"/>
      <c r="F517" s="2"/>
      <c r="G517" s="5"/>
      <c r="H517" s="6"/>
      <c r="I517" s="7"/>
      <c r="J517" s="10"/>
      <c r="K517" t="str">
        <f>HYPERLINK("http://www8.mpce.mp.br/Empenhos/150501/NE/2024NE000551.pdf","2024NE000551")</f>
        <v>2024NE000551</v>
      </c>
      <c r="L517" s="13">
        <v>18000</v>
      </c>
      <c r="M517" t="s">
        <v>26</v>
      </c>
      <c r="N517">
        <v>41456187000110</v>
      </c>
    </row>
    <row r="518" spans="1:14" x14ac:dyDescent="0.25">
      <c r="A518" s="12"/>
      <c r="B518" s="2"/>
      <c r="C518" s="3"/>
      <c r="D518" s="4"/>
      <c r="E518" s="16"/>
      <c r="F518" s="2"/>
      <c r="G518" s="5"/>
      <c r="H518" s="6"/>
      <c r="I518" s="7"/>
      <c r="J518" s="10"/>
      <c r="K518" t="str">
        <f>HYPERLINK("http://www8.mpce.mp.br/Empenhos/150501/NE/2024NE000552.pdf","2024NE000552")</f>
        <v>2024NE000552</v>
      </c>
      <c r="L518" s="13">
        <v>45512.77</v>
      </c>
      <c r="M518" t="s">
        <v>27</v>
      </c>
      <c r="N518">
        <v>22705562000173</v>
      </c>
    </row>
    <row r="519" spans="1:14" x14ac:dyDescent="0.25">
      <c r="A519" s="12"/>
      <c r="B519" s="2"/>
      <c r="C519" s="3"/>
      <c r="D519" s="4"/>
      <c r="E519" s="17"/>
      <c r="F519" s="2"/>
      <c r="G519" s="5"/>
      <c r="H519" s="6"/>
      <c r="I519" s="7"/>
      <c r="J519" s="10"/>
      <c r="K519" t="str">
        <f>HYPERLINK("http://www8.mpce.mp.br/Empenhos/150501/NE/2024NE000553.pdf","2024NE000553")</f>
        <v>2024NE000553</v>
      </c>
      <c r="L519" s="13">
        <v>5600</v>
      </c>
      <c r="M519" t="s">
        <v>28</v>
      </c>
      <c r="N519">
        <v>12255352000177</v>
      </c>
    </row>
    <row r="520" spans="1:14" x14ac:dyDescent="0.25">
      <c r="A520" s="12"/>
      <c r="B520" s="2"/>
      <c r="C520" s="3"/>
      <c r="D520" s="4"/>
      <c r="E520" s="17"/>
      <c r="F520" s="2"/>
      <c r="G520" s="5"/>
      <c r="H520" s="6"/>
      <c r="I520" s="7"/>
      <c r="J520" s="10"/>
      <c r="K520" t="str">
        <f>HYPERLINK("http://www8.mpce.mp.br/Empenhos/150501/NE/2024NE000554.pdf","2024NE000554")</f>
        <v>2024NE000554</v>
      </c>
      <c r="L520" s="13">
        <v>58910.97</v>
      </c>
      <c r="M520" t="s">
        <v>29</v>
      </c>
      <c r="N520">
        <v>5569807000163</v>
      </c>
    </row>
    <row r="521" spans="1:14" x14ac:dyDescent="0.25">
      <c r="A521" s="12"/>
      <c r="B521" s="2"/>
      <c r="C521" s="3"/>
      <c r="D521" s="4"/>
      <c r="E521" s="17"/>
      <c r="F521" s="2"/>
      <c r="G521" s="5"/>
      <c r="H521" s="6"/>
      <c r="I521" s="7"/>
      <c r="J521" s="10"/>
      <c r="K521" t="str">
        <f>HYPERLINK("http://www8.mpce.mp.br/Empenhos/150501/NE/2024NE000555.pdf","2024NE000555")</f>
        <v>2024NE000555</v>
      </c>
      <c r="L521" s="13">
        <v>22143.48</v>
      </c>
      <c r="M521" t="s">
        <v>30</v>
      </c>
      <c r="N521">
        <v>10508750000122</v>
      </c>
    </row>
    <row r="522" spans="1:14" x14ac:dyDescent="0.25">
      <c r="A522" s="12"/>
      <c r="B522" s="2"/>
      <c r="C522" s="3"/>
      <c r="D522" s="4"/>
      <c r="E522" s="16"/>
      <c r="F522" s="2"/>
      <c r="G522" s="5"/>
      <c r="H522" s="6"/>
      <c r="I522" s="7"/>
      <c r="J522" s="10"/>
      <c r="K522" t="str">
        <f>HYPERLINK("http://www8.mpce.mp.br/Empenhos/150501/NE/2024NE000556.pdf","2024NE000556")</f>
        <v>2024NE000556</v>
      </c>
      <c r="L522" s="13">
        <v>22000</v>
      </c>
      <c r="M522" t="s">
        <v>30</v>
      </c>
      <c r="N522">
        <v>10508750000122</v>
      </c>
    </row>
    <row r="523" spans="1:14" x14ac:dyDescent="0.25">
      <c r="A523" s="12"/>
      <c r="B523" s="2"/>
      <c r="C523" s="3"/>
      <c r="D523" s="4"/>
      <c r="E523" s="16"/>
      <c r="F523" s="2"/>
      <c r="G523" s="5"/>
      <c r="H523" s="6"/>
      <c r="I523" s="7"/>
      <c r="J523" s="10"/>
      <c r="K523" t="str">
        <f>HYPERLINK("http://www8.mpce.mp.br/Empenhos/150501/NE/2024NE000558.pdf","2024NE000558")</f>
        <v>2024NE000558</v>
      </c>
      <c r="L523" s="13">
        <v>35718.5</v>
      </c>
      <c r="M523" t="s">
        <v>50</v>
      </c>
      <c r="N523">
        <v>3773788000167</v>
      </c>
    </row>
    <row r="524" spans="1:14" x14ac:dyDescent="0.25">
      <c r="A524" s="12"/>
      <c r="B524" s="2"/>
      <c r="C524" s="3"/>
      <c r="D524" s="4"/>
      <c r="E524" s="16"/>
      <c r="F524" s="2"/>
      <c r="G524" s="5"/>
      <c r="H524" s="6"/>
      <c r="I524" s="7"/>
      <c r="J524" s="10"/>
      <c r="K524" t="str">
        <f>HYPERLINK("http://www8.mpce.mp.br/Empenhos/150501/NE/2024NE000558.pdf","2024NE000558")</f>
        <v>2024NE000558</v>
      </c>
      <c r="L524" s="13">
        <v>35718.5</v>
      </c>
      <c r="M524" t="s">
        <v>50</v>
      </c>
      <c r="N524">
        <v>3773788000167</v>
      </c>
    </row>
    <row r="525" spans="1:14" x14ac:dyDescent="0.25">
      <c r="A525" s="12"/>
      <c r="B525" s="2"/>
      <c r="C525" s="3"/>
      <c r="D525" s="4"/>
      <c r="E525" s="16"/>
      <c r="F525" s="2"/>
      <c r="G525" s="5"/>
      <c r="H525" s="6"/>
      <c r="I525" s="7"/>
      <c r="J525" s="10"/>
      <c r="K525" t="str">
        <f>HYPERLINK("http://www8.mpce.mp.br/Empenhos/150501/NE/2024NE000558.pdf","2024NE000558")</f>
        <v>2024NE000558</v>
      </c>
      <c r="L525" s="13">
        <v>35718.5</v>
      </c>
      <c r="M525" t="s">
        <v>50</v>
      </c>
      <c r="N525">
        <v>3773788000167</v>
      </c>
    </row>
    <row r="526" spans="1:14" x14ac:dyDescent="0.25">
      <c r="A526" s="12"/>
      <c r="B526" s="2"/>
      <c r="C526" s="3"/>
      <c r="D526" s="4"/>
      <c r="E526" s="16"/>
      <c r="F526" s="2"/>
      <c r="G526" s="5"/>
      <c r="H526" s="6"/>
      <c r="I526" s="7"/>
      <c r="J526" s="10"/>
      <c r="K526" t="str">
        <f>HYPERLINK("http://www8.mpce.mp.br/Empenhos/150501/NE/2024NE000558.pdf","2024NE000558")</f>
        <v>2024NE000558</v>
      </c>
      <c r="L526" s="13">
        <v>35718.5</v>
      </c>
      <c r="M526" t="s">
        <v>50</v>
      </c>
      <c r="N526">
        <v>3773788000167</v>
      </c>
    </row>
    <row r="527" spans="1:14" x14ac:dyDescent="0.25">
      <c r="A527" s="12"/>
      <c r="B527" s="2"/>
      <c r="C527" s="3"/>
      <c r="D527" s="4"/>
      <c r="E527" s="16"/>
      <c r="F527" s="2"/>
      <c r="G527" s="5"/>
      <c r="H527" s="6"/>
      <c r="I527" s="7"/>
      <c r="J527" s="10"/>
      <c r="K527" t="str">
        <f>HYPERLINK("http://www8.mpce.mp.br/Empenhos/150501/NE/2024NE000560.pdf","2024NE000560")</f>
        <v>2024NE000560</v>
      </c>
      <c r="L527" s="13">
        <v>75338.100000000006</v>
      </c>
      <c r="M527" t="s">
        <v>70</v>
      </c>
      <c r="N527">
        <v>82845322000104</v>
      </c>
    </row>
    <row r="528" spans="1:14" x14ac:dyDescent="0.25">
      <c r="A528" s="12"/>
      <c r="B528" s="2"/>
      <c r="C528" s="3"/>
      <c r="D528" s="4"/>
      <c r="E528" s="16"/>
      <c r="F528" s="2"/>
      <c r="G528" s="5"/>
      <c r="H528" s="6"/>
      <c r="I528" s="7"/>
      <c r="J528" s="10"/>
      <c r="K528" t="str">
        <f>HYPERLINK("http://www8.mpce.mp.br/Empenhos/150501/NE/2024NE000560.pdf","2024NE000560")</f>
        <v>2024NE000560</v>
      </c>
      <c r="L528" s="13">
        <v>75338.100000000006</v>
      </c>
      <c r="M528" t="s">
        <v>70</v>
      </c>
      <c r="N528">
        <v>82845322000104</v>
      </c>
    </row>
    <row r="529" spans="1:14" x14ac:dyDescent="0.25">
      <c r="A529" s="12"/>
      <c r="B529" s="2"/>
      <c r="C529" s="3"/>
      <c r="D529" s="4"/>
      <c r="E529" s="16"/>
      <c r="F529" s="2"/>
      <c r="G529" s="5"/>
      <c r="H529" s="6"/>
      <c r="I529" s="7"/>
      <c r="J529" s="10"/>
      <c r="K529" t="str">
        <f>HYPERLINK("http://www8.mpce.mp.br/Empenhos/150501/NE/2024NE000560.pdf","2024NE000560")</f>
        <v>2024NE000560</v>
      </c>
      <c r="L529" s="13">
        <v>75338.100000000006</v>
      </c>
      <c r="M529" t="s">
        <v>70</v>
      </c>
      <c r="N529">
        <v>82845322000104</v>
      </c>
    </row>
    <row r="530" spans="1:14" x14ac:dyDescent="0.25">
      <c r="A530" s="12"/>
      <c r="B530" s="2"/>
      <c r="C530" s="3"/>
      <c r="D530" s="4"/>
      <c r="E530" s="16"/>
      <c r="F530" s="2"/>
      <c r="G530" s="14"/>
      <c r="H530" s="6"/>
      <c r="I530" s="7"/>
      <c r="J530" s="10"/>
      <c r="K530" t="str">
        <f>HYPERLINK("http://www8.mpce.mp.br/Empenhos/150501/NE/2024NE000560.pdf","2024NE000560")</f>
        <v>2024NE000560</v>
      </c>
      <c r="L530" s="13">
        <v>75338.100000000006</v>
      </c>
      <c r="M530" t="s">
        <v>70</v>
      </c>
      <c r="N530">
        <v>82845322000104</v>
      </c>
    </row>
    <row r="531" spans="1:14" x14ac:dyDescent="0.25">
      <c r="A531" s="12"/>
      <c r="B531" s="2"/>
      <c r="C531" s="3"/>
      <c r="D531" s="4"/>
      <c r="E531" s="16"/>
      <c r="F531" s="2"/>
      <c r="G531" s="14"/>
      <c r="H531" s="6"/>
      <c r="I531" s="7"/>
      <c r="J531" s="10"/>
      <c r="K531" t="str">
        <f>HYPERLINK("http://www8.mpce.mp.br/Empenhos/150501/NE/2024NE000560.pdf","2024NE000560")</f>
        <v>2024NE000560</v>
      </c>
      <c r="L531" s="13">
        <v>75338.100000000006</v>
      </c>
      <c r="M531" t="s">
        <v>70</v>
      </c>
      <c r="N531">
        <v>82845322000104</v>
      </c>
    </row>
    <row r="532" spans="1:14" x14ac:dyDescent="0.25">
      <c r="A532" s="12"/>
      <c r="B532" s="2"/>
      <c r="C532" s="3"/>
      <c r="D532" s="4"/>
      <c r="E532" s="16"/>
      <c r="F532" s="2"/>
      <c r="G532" s="5"/>
      <c r="H532" s="6"/>
      <c r="I532" s="7"/>
      <c r="J532" s="10"/>
      <c r="K532" t="str">
        <f>HYPERLINK("http://www8.mpce.mp.br/Empenhos/150501/NE/2024NE000566.pdf","2024NE000566")</f>
        <v>2024NE000566</v>
      </c>
      <c r="L532" s="13">
        <v>2040.09</v>
      </c>
      <c r="M532" t="s">
        <v>91</v>
      </c>
      <c r="N532">
        <v>20941439372</v>
      </c>
    </row>
    <row r="533" spans="1:14" x14ac:dyDescent="0.25">
      <c r="A533" s="12"/>
      <c r="B533" s="2"/>
      <c r="C533" s="3"/>
      <c r="D533" s="4"/>
      <c r="E533" s="16"/>
      <c r="F533" s="2"/>
      <c r="G533" s="5"/>
      <c r="H533" s="6"/>
      <c r="I533" s="7"/>
      <c r="J533" s="10"/>
      <c r="K533" t="str">
        <f>HYPERLINK("http://www8.mpce.mp.br/Empenhos/150501/NE/2024NE000567.pdf","2024NE000567")</f>
        <v>2024NE000567</v>
      </c>
      <c r="L533" s="13">
        <v>24450.84</v>
      </c>
      <c r="M533" t="s">
        <v>60</v>
      </c>
      <c r="N533">
        <v>2144832315</v>
      </c>
    </row>
    <row r="534" spans="1:14" x14ac:dyDescent="0.25">
      <c r="A534" s="12"/>
      <c r="B534" s="2"/>
      <c r="C534" s="3"/>
      <c r="D534" s="4"/>
      <c r="E534" s="16"/>
      <c r="F534" s="2"/>
      <c r="G534" s="5"/>
      <c r="H534" s="6"/>
      <c r="I534" s="7"/>
      <c r="J534" s="10"/>
      <c r="K534" t="str">
        <f>HYPERLINK("http://www8.mpce.mp.br/Empenhos/150501/NE/2024NE000568.pdf","2024NE000568")</f>
        <v>2024NE000568</v>
      </c>
      <c r="L534" s="13">
        <v>13024.68</v>
      </c>
      <c r="M534" t="s">
        <v>83</v>
      </c>
      <c r="N534">
        <v>18904432391</v>
      </c>
    </row>
    <row r="535" spans="1:14" x14ac:dyDescent="0.25">
      <c r="A535" s="12"/>
      <c r="B535" s="2"/>
      <c r="C535" s="3"/>
      <c r="D535" s="4"/>
      <c r="E535" s="16"/>
      <c r="F535" s="2"/>
      <c r="G535" s="5"/>
      <c r="H535" s="6"/>
      <c r="I535" s="7"/>
      <c r="J535" s="10"/>
      <c r="K535" t="str">
        <f>HYPERLINK("http://www8.mpce.mp.br/Empenhos/150501/NE/2024NE000569.pdf","2024NE000569")</f>
        <v>2024NE000569</v>
      </c>
      <c r="L535" s="13">
        <v>7025.91</v>
      </c>
      <c r="M535" t="s">
        <v>82</v>
      </c>
      <c r="N535">
        <v>46950052391</v>
      </c>
    </row>
    <row r="536" spans="1:14" x14ac:dyDescent="0.25">
      <c r="A536" s="12"/>
      <c r="B536" s="2"/>
      <c r="C536" s="3"/>
      <c r="D536" s="4"/>
      <c r="E536" s="16"/>
      <c r="F536" s="2"/>
      <c r="G536" s="5"/>
      <c r="H536" s="6"/>
      <c r="I536" s="7"/>
      <c r="J536" s="10"/>
      <c r="K536" t="str">
        <f>HYPERLINK("http://www8.mpce.mp.br/Empenhos/150501/NE/2024NE000570.pdf","2024NE000570")</f>
        <v>2024NE000570</v>
      </c>
      <c r="L536" s="13">
        <v>4294.05</v>
      </c>
      <c r="M536" t="s">
        <v>86</v>
      </c>
      <c r="N536">
        <v>15473585000134</v>
      </c>
    </row>
    <row r="537" spans="1:14" x14ac:dyDescent="0.25">
      <c r="A537" s="12"/>
      <c r="B537" s="2"/>
      <c r="C537" s="3"/>
      <c r="D537" s="4"/>
      <c r="E537" s="16"/>
      <c r="F537" s="2"/>
      <c r="G537" s="5"/>
      <c r="H537" s="6"/>
      <c r="I537" s="7"/>
      <c r="J537" s="10"/>
      <c r="K537" t="str">
        <f>HYPERLINK("http://www8.mpce.mp.br/Empenhos/150501/NE/2024NE000571.pdf","2024NE000571")</f>
        <v>2024NE000571</v>
      </c>
      <c r="L537" s="13">
        <v>3920.1</v>
      </c>
      <c r="M537" t="s">
        <v>40</v>
      </c>
      <c r="N537">
        <v>43713017387</v>
      </c>
    </row>
    <row r="538" spans="1:14" x14ac:dyDescent="0.25">
      <c r="A538" s="12"/>
      <c r="B538" s="2"/>
      <c r="C538" s="3"/>
      <c r="D538" s="4"/>
      <c r="E538" s="16"/>
      <c r="F538" s="2"/>
      <c r="G538" s="5"/>
      <c r="H538" s="6"/>
      <c r="I538" s="7"/>
      <c r="J538" s="10"/>
      <c r="K538" t="str">
        <f>HYPERLINK("http://www8.mpce.mp.br/Empenhos/150501/NE/2024NE000572.pdf","2024NE000572")</f>
        <v>2024NE000572</v>
      </c>
      <c r="L538" s="13">
        <v>12000</v>
      </c>
      <c r="M538" t="s">
        <v>41</v>
      </c>
      <c r="N538">
        <v>19678451824</v>
      </c>
    </row>
    <row r="539" spans="1:14" x14ac:dyDescent="0.25">
      <c r="A539" s="12"/>
      <c r="B539" s="2"/>
      <c r="C539" s="3"/>
      <c r="D539" s="4"/>
      <c r="E539" s="16"/>
      <c r="F539" s="2"/>
      <c r="G539" s="5"/>
      <c r="H539" s="6"/>
      <c r="I539" s="7"/>
      <c r="J539" s="10"/>
      <c r="K539" t="str">
        <f>HYPERLINK("http://www8.mpce.mp.br/Empenhos/150501/NE/2024NE000573.pdf","2024NE000573")</f>
        <v>2024NE000573</v>
      </c>
      <c r="L539" s="13">
        <v>8807.1299999999992</v>
      </c>
      <c r="M539" t="s">
        <v>90</v>
      </c>
      <c r="N539">
        <v>77748638349</v>
      </c>
    </row>
    <row r="540" spans="1:14" x14ac:dyDescent="0.25">
      <c r="A540" s="12"/>
      <c r="B540" s="2"/>
      <c r="C540" s="3"/>
      <c r="D540" s="4"/>
      <c r="E540" s="16"/>
      <c r="F540" s="2"/>
      <c r="G540" s="5"/>
      <c r="H540" s="6"/>
      <c r="I540" s="7"/>
      <c r="J540" s="10"/>
      <c r="K540" t="str">
        <f>HYPERLINK("http://www8.mpce.mp.br/Empenhos/150501/NE/2024NE000574.pdf","2024NE000574")</f>
        <v>2024NE000574</v>
      </c>
      <c r="L540" s="13">
        <v>6564.03</v>
      </c>
      <c r="M540" t="s">
        <v>88</v>
      </c>
      <c r="N540">
        <v>49090674349</v>
      </c>
    </row>
    <row r="541" spans="1:14" x14ac:dyDescent="0.25">
      <c r="A541" s="12"/>
      <c r="B541" s="2"/>
      <c r="C541" s="3"/>
      <c r="D541" s="4"/>
      <c r="E541" s="16"/>
      <c r="F541" s="2"/>
      <c r="G541" s="5"/>
      <c r="H541" s="6"/>
      <c r="I541" s="7"/>
      <c r="J541" s="10"/>
      <c r="K541" t="str">
        <f>HYPERLINK("http://www8.mpce.mp.br/Empenhos/150501/NE/2024NE000575.pdf","2024NE000575")</f>
        <v>2024NE000575</v>
      </c>
      <c r="L541" s="13">
        <v>6000</v>
      </c>
      <c r="M541" t="s">
        <v>33</v>
      </c>
      <c r="N541">
        <v>7021062320</v>
      </c>
    </row>
    <row r="542" spans="1:14" x14ac:dyDescent="0.25">
      <c r="A542" s="12"/>
      <c r="B542" s="2"/>
      <c r="C542" s="3"/>
      <c r="D542" s="4"/>
      <c r="E542" s="16"/>
      <c r="F542" s="2"/>
      <c r="G542" s="5"/>
      <c r="H542" s="6"/>
      <c r="I542" s="7"/>
      <c r="J542" s="10"/>
      <c r="K542" t="str">
        <f>HYPERLINK("http://www8.mpce.mp.br/Empenhos/150501/NE/2024NE000576.pdf","2024NE000576")</f>
        <v>2024NE000576</v>
      </c>
      <c r="L542" s="13">
        <v>16554.45</v>
      </c>
      <c r="M542" t="s">
        <v>36</v>
      </c>
      <c r="N542">
        <v>34123367852</v>
      </c>
    </row>
    <row r="543" spans="1:14" x14ac:dyDescent="0.25">
      <c r="A543" s="12"/>
      <c r="B543" s="2"/>
      <c r="C543" s="3"/>
      <c r="D543" s="4"/>
      <c r="E543" s="16"/>
      <c r="F543" s="2"/>
      <c r="G543" s="5"/>
      <c r="H543" s="6"/>
      <c r="I543" s="7"/>
      <c r="J543" s="10"/>
      <c r="K543" t="str">
        <f>HYPERLINK("http://www8.mpce.mp.br/Empenhos/150501/NE/2024NE000577.pdf","2024NE000577")</f>
        <v>2024NE000577</v>
      </c>
      <c r="L543" s="13">
        <v>7200</v>
      </c>
      <c r="M543" t="s">
        <v>35</v>
      </c>
      <c r="N543">
        <v>25876988391</v>
      </c>
    </row>
    <row r="544" spans="1:14" x14ac:dyDescent="0.25">
      <c r="A544" s="12"/>
      <c r="B544" s="2"/>
      <c r="C544" s="3"/>
      <c r="D544" s="4"/>
      <c r="E544" s="16"/>
      <c r="F544" s="2"/>
      <c r="G544" s="5"/>
      <c r="H544" s="6"/>
      <c r="I544" s="7"/>
      <c r="J544" s="10"/>
      <c r="K544" t="str">
        <f>HYPERLINK("http://www8.mpce.mp.br/Empenhos/150501/NE/2024NE000578.pdf","2024NE000578")</f>
        <v>2024NE000578</v>
      </c>
      <c r="L544" s="13">
        <v>8469.81</v>
      </c>
      <c r="M544" t="s">
        <v>37</v>
      </c>
      <c r="N544">
        <v>35165286215</v>
      </c>
    </row>
    <row r="545" spans="1:14" x14ac:dyDescent="0.25">
      <c r="A545" s="12"/>
      <c r="B545" s="2"/>
      <c r="C545" s="3"/>
      <c r="D545" s="4"/>
      <c r="E545" s="16"/>
      <c r="F545" s="2"/>
      <c r="G545" s="5"/>
      <c r="H545" s="6"/>
      <c r="I545" s="7"/>
      <c r="J545" s="10"/>
      <c r="K545" t="str">
        <f>HYPERLINK("http://www8.mpce.mp.br/Empenhos/150501/NE/2024NE000579.pdf","2024NE000579")</f>
        <v>2024NE000579</v>
      </c>
      <c r="L545" s="13">
        <v>16638.3</v>
      </c>
      <c r="M545" t="s">
        <v>42</v>
      </c>
      <c r="N545">
        <v>22588967000179</v>
      </c>
    </row>
    <row r="546" spans="1:14" x14ac:dyDescent="0.25">
      <c r="A546" s="12"/>
      <c r="B546" s="2"/>
      <c r="C546" s="3"/>
      <c r="D546" s="4"/>
      <c r="E546" s="16"/>
      <c r="F546" s="2"/>
      <c r="G546" s="5"/>
      <c r="H546" s="6"/>
      <c r="I546" s="7"/>
      <c r="J546" s="10"/>
      <c r="K546" t="str">
        <f>HYPERLINK("http://www8.mpce.mp.br/Empenhos/150501/NE/2024NE000580.pdf","2024NE000580")</f>
        <v>2024NE000580</v>
      </c>
      <c r="L546" s="13">
        <v>4463.6400000000003</v>
      </c>
      <c r="M546" t="s">
        <v>42</v>
      </c>
      <c r="N546">
        <v>22588967000179</v>
      </c>
    </row>
    <row r="547" spans="1:14" x14ac:dyDescent="0.25">
      <c r="A547" s="12"/>
      <c r="B547" s="2"/>
      <c r="C547" s="3"/>
      <c r="D547" s="4"/>
      <c r="E547" s="16"/>
      <c r="F547" s="2"/>
      <c r="G547" s="5"/>
      <c r="H547" s="6"/>
      <c r="I547" s="7"/>
      <c r="J547" s="10"/>
      <c r="K547" t="str">
        <f>HYPERLINK("http://www8.mpce.mp.br/Empenhos/150501/NE/2024NE000581.pdf","2024NE000581")</f>
        <v>2024NE000581</v>
      </c>
      <c r="L547" s="13">
        <v>4921.05</v>
      </c>
      <c r="M547" t="s">
        <v>42</v>
      </c>
      <c r="N547">
        <v>22588967000179</v>
      </c>
    </row>
    <row r="548" spans="1:14" x14ac:dyDescent="0.25">
      <c r="A548" s="12"/>
      <c r="B548" s="2"/>
      <c r="C548" s="3"/>
      <c r="D548" s="4"/>
      <c r="E548" s="16"/>
      <c r="F548" s="2"/>
      <c r="G548" s="5"/>
      <c r="H548" s="6"/>
      <c r="I548" s="7"/>
      <c r="J548" s="10"/>
      <c r="K548" t="str">
        <f>HYPERLINK("http://www8.mpce.mp.br/Empenhos/150501/NE/2024NE000582.pdf","2024NE000582")</f>
        <v>2024NE000582</v>
      </c>
      <c r="L548">
        <v>729.87</v>
      </c>
      <c r="M548" t="s">
        <v>42</v>
      </c>
      <c r="N548">
        <v>22588967000179</v>
      </c>
    </row>
    <row r="549" spans="1:14" x14ac:dyDescent="0.25">
      <c r="A549" s="12"/>
      <c r="B549" s="2"/>
      <c r="C549" s="3"/>
      <c r="D549" s="4"/>
      <c r="E549" s="16"/>
      <c r="F549" s="2"/>
      <c r="G549" s="5"/>
      <c r="H549" s="6"/>
      <c r="I549" s="7"/>
      <c r="J549" s="10"/>
      <c r="K549" t="str">
        <f>HYPERLINK("http://www8.mpce.mp.br/Empenhos/150501/NE/2024NE000583.pdf","2024NE000583")</f>
        <v>2024NE000583</v>
      </c>
      <c r="L549">
        <v>729.87</v>
      </c>
      <c r="M549" t="s">
        <v>42</v>
      </c>
      <c r="N549">
        <v>22588967000179</v>
      </c>
    </row>
    <row r="550" spans="1:14" x14ac:dyDescent="0.25">
      <c r="A550" s="12"/>
      <c r="B550" s="2"/>
      <c r="C550" s="3"/>
      <c r="D550" s="4"/>
      <c r="E550" s="16"/>
      <c r="F550" s="2"/>
      <c r="G550" s="5"/>
      <c r="H550" s="6"/>
      <c r="I550" s="7"/>
      <c r="J550" s="10"/>
      <c r="K550" t="str">
        <f>HYPERLINK("http://www8.mpce.mp.br/Empenhos/150501/NE/2024NE000584.pdf","2024NE000584")</f>
        <v>2024NE000584</v>
      </c>
      <c r="L550">
        <v>152.37</v>
      </c>
      <c r="M550" t="s">
        <v>42</v>
      </c>
      <c r="N550">
        <v>22588967000179</v>
      </c>
    </row>
    <row r="551" spans="1:14" x14ac:dyDescent="0.25">
      <c r="A551" s="12"/>
      <c r="B551" s="2"/>
      <c r="C551" s="3"/>
      <c r="D551" s="4"/>
      <c r="E551" s="16"/>
      <c r="F551" s="2"/>
      <c r="G551" s="5"/>
      <c r="H551" s="6"/>
      <c r="I551" s="7"/>
      <c r="J551" s="10"/>
      <c r="K551" t="str">
        <f>HYPERLINK("http://www8.mpce.mp.br/Empenhos/150501/NE/2024NE000585.pdf","2024NE000585")</f>
        <v>2024NE000585</v>
      </c>
      <c r="L551">
        <v>152.37</v>
      </c>
      <c r="M551" t="s">
        <v>42</v>
      </c>
      <c r="N551">
        <v>22588967000179</v>
      </c>
    </row>
    <row r="552" spans="1:14" x14ac:dyDescent="0.25">
      <c r="A552" s="12"/>
      <c r="B552" s="2"/>
      <c r="C552" s="3"/>
      <c r="D552" s="4"/>
      <c r="E552" s="16"/>
      <c r="F552" s="2"/>
      <c r="G552" s="5"/>
      <c r="H552" s="6"/>
      <c r="I552" s="7"/>
      <c r="J552" s="10"/>
      <c r="K552" t="str">
        <f>HYPERLINK("http://www8.mpce.mp.br/Empenhos/150501/NE/2024NE000586.pdf","2024NE000586")</f>
        <v>2024NE000586</v>
      </c>
      <c r="L552" s="13">
        <v>1387.47</v>
      </c>
      <c r="M552" t="s">
        <v>42</v>
      </c>
      <c r="N552">
        <v>22588967000179</v>
      </c>
    </row>
    <row r="553" spans="1:14" x14ac:dyDescent="0.25">
      <c r="A553" s="12"/>
      <c r="B553" s="2"/>
      <c r="C553" s="3"/>
      <c r="D553" s="4"/>
      <c r="E553" s="16"/>
      <c r="F553" s="2"/>
      <c r="G553" s="5"/>
      <c r="H553" s="6"/>
      <c r="I553" s="7"/>
      <c r="J553" s="10"/>
      <c r="K553" t="str">
        <f>HYPERLINK("http://www8.mpce.mp.br/Empenhos/150501/NE/2024NE000587.pdf","2024NE000587")</f>
        <v>2024NE000587</v>
      </c>
      <c r="L553">
        <v>152.32</v>
      </c>
      <c r="M553" t="s">
        <v>29</v>
      </c>
      <c r="N553">
        <v>5569807000163</v>
      </c>
    </row>
    <row r="554" spans="1:14" x14ac:dyDescent="0.25">
      <c r="A554" s="12"/>
      <c r="B554" s="2"/>
      <c r="C554" s="3"/>
      <c r="D554" s="4"/>
      <c r="E554" s="16"/>
      <c r="F554" s="2"/>
      <c r="G554" s="5"/>
      <c r="H554" s="6"/>
      <c r="I554" s="7"/>
      <c r="J554" s="10"/>
      <c r="K554" t="str">
        <f>HYPERLINK("http://www8.mpce.mp.br/Empenhos/150501/NE/2024NE000588.pdf","2024NE000588")</f>
        <v>2024NE000588</v>
      </c>
      <c r="L554" s="13">
        <v>7804.65</v>
      </c>
      <c r="M554" t="s">
        <v>38</v>
      </c>
      <c r="N554">
        <v>5817870304</v>
      </c>
    </row>
    <row r="555" spans="1:14" x14ac:dyDescent="0.25">
      <c r="A555" s="12"/>
      <c r="B555" s="2"/>
      <c r="C555" s="3"/>
      <c r="D555" s="4"/>
      <c r="E555" s="16"/>
      <c r="F555" s="2"/>
      <c r="G555" s="5"/>
      <c r="H555" s="6"/>
      <c r="I555" s="7"/>
      <c r="J555" s="10"/>
      <c r="K555" t="str">
        <f>HYPERLINK("http://www8.mpce.mp.br/Empenhos/150501/NE/2024NE000589.pdf","2024NE000589")</f>
        <v>2024NE000589</v>
      </c>
      <c r="L555" s="13">
        <v>16200</v>
      </c>
      <c r="M555" t="s">
        <v>87</v>
      </c>
      <c r="N555">
        <v>33457311000133</v>
      </c>
    </row>
    <row r="556" spans="1:14" x14ac:dyDescent="0.25">
      <c r="A556" s="12"/>
      <c r="B556" s="2"/>
      <c r="C556" s="3"/>
      <c r="D556" s="4"/>
      <c r="E556" s="16"/>
      <c r="F556" s="2"/>
      <c r="G556" s="5"/>
      <c r="H556" s="6"/>
      <c r="I556" s="7"/>
      <c r="J556" s="10"/>
      <c r="K556" t="str">
        <f>HYPERLINK("http://www8.mpce.mp.br/Empenhos/150501/NE/2024NE000590.pdf","2024NE000590")</f>
        <v>2024NE000590</v>
      </c>
      <c r="L556" s="13">
        <v>3600</v>
      </c>
      <c r="M556" t="s">
        <v>43</v>
      </c>
      <c r="N556">
        <v>31014895391</v>
      </c>
    </row>
    <row r="557" spans="1:14" x14ac:dyDescent="0.25">
      <c r="A557" s="12"/>
      <c r="B557" s="2"/>
      <c r="C557" s="3"/>
      <c r="D557" s="4"/>
      <c r="E557" s="16"/>
      <c r="F557" s="2"/>
      <c r="G557" s="5"/>
      <c r="H557" s="6"/>
      <c r="I557" s="7"/>
      <c r="J557" s="10"/>
      <c r="K557" t="str">
        <f>HYPERLINK("http://www8.mpce.mp.br/Empenhos/150501/NE/2024NE000591.pdf","2024NE000591")</f>
        <v>2024NE000591</v>
      </c>
      <c r="L557" s="13">
        <v>4953.45</v>
      </c>
      <c r="M557" t="s">
        <v>39</v>
      </c>
      <c r="N557">
        <v>50937197300</v>
      </c>
    </row>
    <row r="558" spans="1:14" x14ac:dyDescent="0.25">
      <c r="A558" s="12"/>
      <c r="B558" s="2"/>
      <c r="C558" s="3"/>
      <c r="D558" s="4"/>
      <c r="E558" s="16"/>
      <c r="F558" s="2"/>
      <c r="G558" s="5"/>
      <c r="H558" s="6"/>
      <c r="I558" s="7"/>
      <c r="J558" s="10"/>
      <c r="K558" t="str">
        <f>HYPERLINK("http://www8.mpce.mp.br/Empenhos/150501/NE/2024NE000592.pdf","2024NE000592")</f>
        <v>2024NE000592</v>
      </c>
      <c r="L558" s="13">
        <v>4650</v>
      </c>
      <c r="M558" t="s">
        <v>44</v>
      </c>
      <c r="N558">
        <v>84738480391</v>
      </c>
    </row>
    <row r="559" spans="1:14" x14ac:dyDescent="0.25">
      <c r="A559" s="12"/>
      <c r="B559" s="2"/>
      <c r="C559" s="3"/>
      <c r="D559" s="4"/>
      <c r="E559" s="16"/>
      <c r="F559" s="2"/>
      <c r="G559" s="5"/>
      <c r="H559" s="6"/>
      <c r="I559" s="7"/>
      <c r="J559" s="10"/>
      <c r="K559" t="str">
        <f>HYPERLINK("http://www8.mpce.mp.br/Empenhos/150501/NE/2024NE000593.pdf","2024NE000593")</f>
        <v>2024NE000593</v>
      </c>
      <c r="L559">
        <v>148.52000000000001</v>
      </c>
      <c r="M559" t="s">
        <v>76</v>
      </c>
      <c r="N559">
        <v>48444032000102</v>
      </c>
    </row>
    <row r="560" spans="1:14" x14ac:dyDescent="0.25">
      <c r="A560" s="12"/>
      <c r="B560" s="2"/>
      <c r="C560" s="3"/>
      <c r="D560" s="4"/>
      <c r="E560" s="16"/>
      <c r="F560" s="2"/>
      <c r="G560" s="5"/>
      <c r="H560" s="6"/>
      <c r="I560" s="7"/>
      <c r="J560" s="10"/>
      <c r="K560" t="str">
        <f>HYPERLINK("http://www8.mpce.mp.br/Empenhos/150501/NE/2024NE000594.pdf","2024NE000594")</f>
        <v>2024NE000594</v>
      </c>
      <c r="L560" s="13">
        <v>11691.72</v>
      </c>
      <c r="M560" t="s">
        <v>48</v>
      </c>
      <c r="N560">
        <v>1728735335</v>
      </c>
    </row>
    <row r="561" spans="1:14" x14ac:dyDescent="0.25">
      <c r="A561" s="12"/>
      <c r="B561" s="2"/>
      <c r="C561" s="3"/>
      <c r="D561" s="4"/>
      <c r="E561" s="17"/>
      <c r="F561" s="2"/>
      <c r="G561" s="5"/>
      <c r="H561" s="6"/>
      <c r="I561" s="7"/>
      <c r="J561" s="10"/>
      <c r="K561" t="str">
        <f>HYPERLINK("http://www8.mpce.mp.br/Empenhos/150501/NE/2024NE000595.pdf","2024NE000595")</f>
        <v>2024NE000595</v>
      </c>
      <c r="L561" s="13">
        <v>7500</v>
      </c>
      <c r="M561" t="s">
        <v>45</v>
      </c>
      <c r="N561">
        <v>7136315387</v>
      </c>
    </row>
    <row r="562" spans="1:14" x14ac:dyDescent="0.25">
      <c r="A562" s="12"/>
      <c r="B562" s="2"/>
      <c r="C562" s="3"/>
      <c r="D562" s="4"/>
      <c r="E562" s="16"/>
      <c r="F562" s="2"/>
      <c r="G562" s="5"/>
      <c r="H562" s="6"/>
      <c r="I562" s="7"/>
      <c r="J562" s="10"/>
      <c r="K562" t="str">
        <f>HYPERLINK("http://www8.mpce.mp.br/Empenhos/150501/NE/2024NE000596.pdf","2024NE000596")</f>
        <v>2024NE000596</v>
      </c>
      <c r="L562" s="13">
        <v>6000</v>
      </c>
      <c r="M562" t="s">
        <v>46</v>
      </c>
      <c r="N562">
        <v>78214130387</v>
      </c>
    </row>
    <row r="563" spans="1:14" x14ac:dyDescent="0.25">
      <c r="A563" s="12"/>
      <c r="B563" s="2"/>
      <c r="C563" s="3"/>
      <c r="D563" s="4"/>
      <c r="E563" s="16"/>
      <c r="F563" s="2"/>
      <c r="G563" s="5"/>
      <c r="H563" s="6"/>
      <c r="I563" s="7"/>
      <c r="J563" s="10"/>
      <c r="K563" t="str">
        <f>HYPERLINK("http://www8.mpce.mp.br/Empenhos/150501/NE/2024NE000597.pdf","2024NE000597")</f>
        <v>2024NE000597</v>
      </c>
      <c r="L563" s="13">
        <v>4500</v>
      </c>
      <c r="M563" t="s">
        <v>31</v>
      </c>
      <c r="N563">
        <v>91495059391</v>
      </c>
    </row>
    <row r="564" spans="1:14" x14ac:dyDescent="0.25">
      <c r="A564" s="12"/>
      <c r="B564" s="2"/>
      <c r="C564" s="3"/>
      <c r="D564" s="4"/>
      <c r="E564" s="16"/>
      <c r="F564" s="2"/>
      <c r="G564" s="5"/>
      <c r="H564" s="6"/>
      <c r="I564" s="7"/>
      <c r="J564" s="10"/>
      <c r="K564" t="str">
        <f>HYPERLINK("http://www8.mpce.mp.br/Empenhos/150501/NE/2024NE000599.pdf","2024NE000599")</f>
        <v>2024NE000599</v>
      </c>
      <c r="L564" s="13">
        <v>2400</v>
      </c>
      <c r="M564" t="s">
        <v>32</v>
      </c>
      <c r="N564">
        <v>19556292349</v>
      </c>
    </row>
    <row r="565" spans="1:14" x14ac:dyDescent="0.25">
      <c r="A565" s="12"/>
      <c r="B565" s="2"/>
      <c r="C565" s="3"/>
      <c r="D565" s="4"/>
      <c r="E565" s="16"/>
      <c r="F565" s="2"/>
      <c r="G565" s="5"/>
      <c r="H565" s="6"/>
      <c r="I565" s="7"/>
      <c r="J565" s="10"/>
      <c r="K565" t="str">
        <f>HYPERLINK("http://www8.mpce.mp.br/Empenhos/150501/NE/2024NE000603.pdf","2024NE000603")</f>
        <v>2024NE000603</v>
      </c>
      <c r="L565" s="13">
        <v>1350000</v>
      </c>
      <c r="M565" t="s">
        <v>81</v>
      </c>
      <c r="N565">
        <v>5757597000218</v>
      </c>
    </row>
    <row r="566" spans="1:14" x14ac:dyDescent="0.25">
      <c r="A566" s="12"/>
      <c r="B566" s="2"/>
      <c r="C566" s="3"/>
      <c r="D566" s="4"/>
      <c r="E566" s="16"/>
      <c r="F566" s="2"/>
      <c r="G566" s="5"/>
      <c r="H566" s="6"/>
      <c r="I566" s="7"/>
      <c r="J566" s="10"/>
      <c r="K566" t="str">
        <f>HYPERLINK("http://www8.mpce.mp.br/Empenhos/150501/NE/2024NE000603.pdf","2024NE000603")</f>
        <v>2024NE000603</v>
      </c>
      <c r="L566" s="13">
        <v>1350000</v>
      </c>
      <c r="M566" t="s">
        <v>81</v>
      </c>
      <c r="N566">
        <v>5757597000218</v>
      </c>
    </row>
    <row r="567" spans="1:14" x14ac:dyDescent="0.25">
      <c r="A567" s="12"/>
      <c r="B567" s="2"/>
      <c r="C567" s="3"/>
      <c r="D567" s="4"/>
      <c r="E567" s="16"/>
      <c r="F567" s="2"/>
      <c r="G567" s="5"/>
      <c r="H567" s="6"/>
      <c r="I567" s="7"/>
      <c r="J567" s="10"/>
      <c r="K567" t="str">
        <f>HYPERLINK("http://www8.mpce.mp.br/Empenhos/150501/NE/2024NE000617.pdf","2024NE000617")</f>
        <v>2024NE000617</v>
      </c>
      <c r="L567" s="13">
        <v>4200</v>
      </c>
      <c r="M567" t="s">
        <v>89</v>
      </c>
      <c r="N567">
        <v>50591630320</v>
      </c>
    </row>
    <row r="568" spans="1:14" x14ac:dyDescent="0.25">
      <c r="A568" s="12"/>
      <c r="B568" s="2"/>
      <c r="C568" s="3"/>
      <c r="D568" s="4"/>
      <c r="E568" s="16"/>
      <c r="F568" s="2"/>
      <c r="G568" s="5"/>
      <c r="H568" s="6"/>
      <c r="I568" s="7"/>
      <c r="J568" s="10"/>
      <c r="K568" t="str">
        <f>HYPERLINK("http://www8.mpce.mp.br/Empenhos/150001/NE/2024NE000619.pdf","2024NE000619")</f>
        <v>2024NE000619</v>
      </c>
      <c r="L568">
        <v>117.84</v>
      </c>
      <c r="M568" t="s">
        <v>73</v>
      </c>
      <c r="N568">
        <v>7620701000172</v>
      </c>
    </row>
    <row r="569" spans="1:14" x14ac:dyDescent="0.25">
      <c r="A569" s="12"/>
      <c r="B569" s="2"/>
      <c r="C569" s="3"/>
      <c r="D569" s="4"/>
      <c r="E569" s="16"/>
      <c r="F569" s="2"/>
      <c r="G569" s="5"/>
      <c r="H569" s="6"/>
      <c r="I569" s="7"/>
      <c r="J569" s="10"/>
      <c r="K569" t="str">
        <f>HYPERLINK("http://www8.mpce.mp.br/Empenhos/150001/NE/2024NE000620.pdf","2024NE000620")</f>
        <v>2024NE000620</v>
      </c>
      <c r="L569">
        <v>608.22</v>
      </c>
      <c r="M569" t="s">
        <v>74</v>
      </c>
      <c r="N569">
        <v>7113566000179</v>
      </c>
    </row>
    <row r="570" spans="1:14" x14ac:dyDescent="0.25">
      <c r="A570" s="12"/>
      <c r="B570" s="2"/>
      <c r="C570" s="3"/>
      <c r="D570" s="4"/>
      <c r="E570" s="16"/>
      <c r="F570" s="2"/>
      <c r="G570" s="5"/>
      <c r="H570" s="6"/>
      <c r="I570" s="7"/>
      <c r="J570" s="10"/>
      <c r="K570" t="str">
        <f>HYPERLINK("http://www8.mpce.mp.br/Empenhos/150501/NE/2024NE000622.pdf","2024NE000622")</f>
        <v>2024NE000622</v>
      </c>
      <c r="L570" s="13">
        <v>342949.76</v>
      </c>
      <c r="M570" t="s">
        <v>50</v>
      </c>
      <c r="N570">
        <v>3773788000167</v>
      </c>
    </row>
    <row r="571" spans="1:14" x14ac:dyDescent="0.25">
      <c r="A571" s="12"/>
      <c r="B571" s="2"/>
      <c r="C571" s="3"/>
      <c r="D571" s="4"/>
      <c r="E571" s="16"/>
      <c r="F571" s="2"/>
      <c r="G571" s="5"/>
      <c r="H571" s="6"/>
      <c r="I571" s="7"/>
      <c r="J571" s="10"/>
      <c r="K571" t="str">
        <f>HYPERLINK("http://www8.mpce.mp.br/Empenhos/150001/NE/2024NE000622.pdf","2024NE000622")</f>
        <v>2024NE000622</v>
      </c>
      <c r="L571">
        <v>450</v>
      </c>
      <c r="M571" t="s">
        <v>75</v>
      </c>
      <c r="N571">
        <v>45898856000164</v>
      </c>
    </row>
    <row r="572" spans="1:14" x14ac:dyDescent="0.25">
      <c r="A572" s="12"/>
      <c r="B572" s="2"/>
      <c r="C572" s="3"/>
      <c r="D572" s="4"/>
      <c r="E572" s="16"/>
      <c r="F572" s="2"/>
      <c r="G572" s="5"/>
      <c r="H572" s="6"/>
      <c r="I572" s="7"/>
      <c r="J572" s="10"/>
      <c r="K572" t="str">
        <f>HYPERLINK("http://www8.mpce.mp.br/Empenhos/150501/NE/2024NE000623.pdf","2024NE000623")</f>
        <v>2024NE000623</v>
      </c>
      <c r="L572">
        <v>729.87</v>
      </c>
      <c r="M572" t="s">
        <v>42</v>
      </c>
      <c r="N572">
        <v>22588967000179</v>
      </c>
    </row>
    <row r="573" spans="1:14" x14ac:dyDescent="0.25">
      <c r="A573" s="12"/>
      <c r="B573" s="2"/>
      <c r="C573" s="3"/>
      <c r="D573" s="4"/>
      <c r="E573" s="16"/>
      <c r="F573" s="2"/>
      <c r="G573" s="5"/>
      <c r="H573" s="6"/>
      <c r="I573" s="7"/>
      <c r="J573" s="10"/>
      <c r="K573" t="str">
        <f>HYPERLINK("http://www8.mpce.mp.br/Empenhos/150501/NE/2024NE000625.pdf","2024NE000625")</f>
        <v>2024NE000625</v>
      </c>
      <c r="L573">
        <v>152.37</v>
      </c>
      <c r="M573" t="s">
        <v>42</v>
      </c>
      <c r="N573">
        <v>22588967000179</v>
      </c>
    </row>
    <row r="574" spans="1:14" x14ac:dyDescent="0.25">
      <c r="A574" s="12"/>
      <c r="B574" s="2"/>
      <c r="C574" s="3"/>
      <c r="D574" s="4"/>
      <c r="E574" s="16"/>
      <c r="F574" s="2"/>
      <c r="G574" s="5"/>
      <c r="H574" s="6"/>
      <c r="I574" s="7"/>
      <c r="J574" s="10"/>
      <c r="K574" t="str">
        <f>HYPERLINK("http://www8.mpce.mp.br/Empenhos/150501/NE/2024NE000626.pdf","2024NE000626")</f>
        <v>2024NE000626</v>
      </c>
      <c r="L574" s="13">
        <v>435000</v>
      </c>
      <c r="M574" t="s">
        <v>100</v>
      </c>
      <c r="N574">
        <v>7084577000178</v>
      </c>
    </row>
    <row r="575" spans="1:14" x14ac:dyDescent="0.25">
      <c r="A575" s="12"/>
      <c r="B575" s="2"/>
      <c r="C575" s="3"/>
      <c r="D575" s="4"/>
      <c r="E575" s="17"/>
      <c r="F575" s="2"/>
      <c r="G575" s="5"/>
      <c r="H575" s="6"/>
      <c r="I575" s="7"/>
      <c r="J575" s="10"/>
      <c r="K575" t="str">
        <f>HYPERLINK("http://www8.mpce.mp.br/Empenhos/150501/NE/2024NE000626.pdf","2024NE000626")</f>
        <v>2024NE000626</v>
      </c>
      <c r="L575" s="13">
        <v>435000</v>
      </c>
      <c r="M575" t="s">
        <v>100</v>
      </c>
      <c r="N575">
        <v>7084577000178</v>
      </c>
    </row>
    <row r="576" spans="1:14" x14ac:dyDescent="0.25">
      <c r="A576" s="12"/>
      <c r="B576" s="2"/>
      <c r="C576" s="3"/>
      <c r="D576" s="4"/>
      <c r="E576" s="17"/>
      <c r="F576" s="2"/>
      <c r="G576" s="5"/>
      <c r="H576" s="6"/>
      <c r="I576" s="7"/>
      <c r="J576" s="10"/>
      <c r="K576" t="str">
        <f>HYPERLINK("http://www8.mpce.mp.br/Empenhos/150501/NE/2024NE000631.pdf","2024NE000631")</f>
        <v>2024NE000631</v>
      </c>
      <c r="L576" s="13">
        <v>41400</v>
      </c>
      <c r="M576" t="s">
        <v>50</v>
      </c>
      <c r="N576">
        <v>3773788000167</v>
      </c>
    </row>
    <row r="577" spans="1:14" x14ac:dyDescent="0.25">
      <c r="A577" s="12"/>
      <c r="B577" s="2"/>
      <c r="C577" s="3"/>
      <c r="D577" s="4"/>
      <c r="E577" s="16"/>
      <c r="F577" s="2"/>
      <c r="G577" s="5"/>
      <c r="H577" s="6"/>
      <c r="I577" s="7"/>
      <c r="J577" s="10"/>
      <c r="K577" t="str">
        <f>HYPERLINK("http://www8.mpce.mp.br/Empenhos/150501/NE/2024NE000631.pdf","2024NE000631")</f>
        <v>2024NE000631</v>
      </c>
      <c r="L577" s="13">
        <v>41400</v>
      </c>
      <c r="M577" t="s">
        <v>50</v>
      </c>
      <c r="N577">
        <v>3773788000167</v>
      </c>
    </row>
    <row r="578" spans="1:14" x14ac:dyDescent="0.25">
      <c r="A578" s="12"/>
      <c r="B578" s="2"/>
      <c r="C578" s="3"/>
      <c r="D578" s="4"/>
      <c r="E578" s="16"/>
      <c r="F578" s="2"/>
      <c r="G578" s="5"/>
      <c r="H578" s="6"/>
      <c r="I578" s="7"/>
      <c r="J578" s="10"/>
      <c r="K578" t="str">
        <f>HYPERLINK("http://www8.mpce.mp.br/Empenhos/150501/NE/2024NE000631.pdf","2024NE000631")</f>
        <v>2024NE000631</v>
      </c>
      <c r="L578" s="13">
        <v>41400</v>
      </c>
      <c r="M578" t="s">
        <v>50</v>
      </c>
      <c r="N578">
        <v>3773788000167</v>
      </c>
    </row>
    <row r="579" spans="1:14" x14ac:dyDescent="0.25">
      <c r="A579" s="12"/>
      <c r="B579" s="2"/>
      <c r="C579" s="3"/>
      <c r="D579" s="4"/>
      <c r="E579" s="16"/>
      <c r="F579" s="2"/>
      <c r="G579" s="5"/>
      <c r="H579" s="6"/>
      <c r="I579" s="7"/>
      <c r="J579" s="10"/>
      <c r="K579" t="str">
        <f>HYPERLINK("http://www8.mpce.mp.br/Empenhos/150501/NE/2024NE000631.pdf","2024NE000631")</f>
        <v>2024NE000631</v>
      </c>
      <c r="L579" s="13">
        <v>41400</v>
      </c>
      <c r="M579" t="s">
        <v>50</v>
      </c>
      <c r="N579">
        <v>3773788000167</v>
      </c>
    </row>
    <row r="580" spans="1:14" x14ac:dyDescent="0.25">
      <c r="A580" s="12"/>
      <c r="B580" s="2"/>
      <c r="C580" s="3"/>
      <c r="D580" s="4"/>
      <c r="E580" s="16"/>
      <c r="F580" s="2"/>
      <c r="G580" s="5"/>
      <c r="H580" s="6"/>
      <c r="I580" s="7"/>
      <c r="J580" s="10"/>
      <c r="K580" t="str">
        <f>HYPERLINK("http://www8.mpce.mp.br/Empenhos/150001/NE/2024NE000638.pdf","2024NE000638")</f>
        <v>2024NE000638</v>
      </c>
      <c r="L580">
        <v>60.78</v>
      </c>
      <c r="M580" t="s">
        <v>78</v>
      </c>
      <c r="N580">
        <v>7476369000114</v>
      </c>
    </row>
    <row r="581" spans="1:14" x14ac:dyDescent="0.25">
      <c r="A581" s="12"/>
      <c r="B581" s="2"/>
      <c r="C581" s="3"/>
      <c r="D581" s="4"/>
      <c r="E581" s="16"/>
      <c r="F581" s="2"/>
      <c r="G581" s="5"/>
      <c r="H581" s="6"/>
      <c r="I581" s="7"/>
      <c r="J581" s="10"/>
      <c r="K581" t="str">
        <f>HYPERLINK("http://www8.mpce.mp.br/Empenhos/150001/NE/2024NE000642.pdf","2024NE000642")</f>
        <v>2024NE000642</v>
      </c>
      <c r="L581">
        <v>600</v>
      </c>
      <c r="M581" t="s">
        <v>79</v>
      </c>
      <c r="N581">
        <v>5537196000171</v>
      </c>
    </row>
    <row r="582" spans="1:14" x14ac:dyDescent="0.25">
      <c r="A582" s="12"/>
      <c r="B582" s="2"/>
      <c r="C582" s="3"/>
      <c r="D582" s="4"/>
      <c r="E582" s="16"/>
      <c r="F582" s="2"/>
      <c r="G582" s="5"/>
      <c r="H582" s="6"/>
      <c r="I582" s="7"/>
      <c r="J582" s="10"/>
      <c r="K582" t="str">
        <f>HYPERLINK("http://www8.mpce.mp.br/Empenhos/150501/NE/2024NE000643.pdf","2024NE000643")</f>
        <v>2024NE000643</v>
      </c>
      <c r="L582" s="13">
        <v>2619.0100000000002</v>
      </c>
      <c r="M582" t="s">
        <v>29</v>
      </c>
      <c r="N582">
        <v>5569807000163</v>
      </c>
    </row>
    <row r="583" spans="1:14" x14ac:dyDescent="0.25">
      <c r="A583" s="12"/>
      <c r="B583" s="2"/>
      <c r="C583" s="3"/>
      <c r="D583" s="4"/>
      <c r="E583" s="16"/>
      <c r="F583" s="2"/>
      <c r="G583" s="5"/>
      <c r="H583" s="6"/>
      <c r="I583" s="7"/>
      <c r="J583" s="10"/>
      <c r="K583" t="str">
        <f>HYPERLINK("http://www8.mpce.mp.br/Empenhos/150001/NE/2024NE000644.pdf","2024NE000644")</f>
        <v>2024NE000644</v>
      </c>
      <c r="L583">
        <v>271.32</v>
      </c>
      <c r="M583" t="s">
        <v>59</v>
      </c>
      <c r="N583">
        <v>7508138000145</v>
      </c>
    </row>
    <row r="584" spans="1:14" x14ac:dyDescent="0.25">
      <c r="A584" s="12"/>
      <c r="B584" s="2"/>
      <c r="C584" s="3"/>
      <c r="D584" s="4"/>
      <c r="E584" s="16"/>
      <c r="F584" s="2"/>
      <c r="G584" s="5"/>
      <c r="H584" s="6"/>
      <c r="I584" s="7"/>
      <c r="J584" s="10"/>
      <c r="K584" t="str">
        <f>HYPERLINK("http://www8.mpce.mp.br/Empenhos/150501/NE/2024NE000646.pdf","2024NE000646")</f>
        <v>2024NE000646</v>
      </c>
      <c r="L584" s="13">
        <v>18263.46</v>
      </c>
      <c r="M584" t="s">
        <v>57</v>
      </c>
      <c r="N584">
        <v>83472803000176</v>
      </c>
    </row>
    <row r="585" spans="1:14" x14ac:dyDescent="0.25">
      <c r="A585" s="12"/>
      <c r="B585" s="2"/>
      <c r="C585" s="3"/>
      <c r="D585" s="4"/>
      <c r="E585" s="16"/>
      <c r="F585" s="2"/>
      <c r="G585" s="5"/>
      <c r="H585" s="6"/>
      <c r="I585" s="7"/>
      <c r="J585" s="10"/>
      <c r="K585" t="str">
        <f>HYPERLINK("http://www8.mpce.mp.br/Empenhos/150501/NE/2024NE000660.pdf","2024NE000660")</f>
        <v>2024NE000660</v>
      </c>
      <c r="L585" s="13">
        <v>131200</v>
      </c>
      <c r="M585" t="s">
        <v>69</v>
      </c>
      <c r="N585">
        <v>2593165000140</v>
      </c>
    </row>
    <row r="586" spans="1:14" x14ac:dyDescent="0.25">
      <c r="A586" s="12"/>
      <c r="B586" s="2"/>
      <c r="C586" s="3"/>
      <c r="D586" s="4"/>
      <c r="E586" s="16"/>
      <c r="F586" s="2"/>
      <c r="G586" s="5"/>
      <c r="H586" s="6"/>
      <c r="I586" s="7"/>
      <c r="J586" s="10"/>
      <c r="K586" t="str">
        <f>HYPERLINK("http://www8.mpce.mp.br/Empenhos/150501/NE/2024NE000662.pdf","2024NE000662")</f>
        <v>2024NE000662</v>
      </c>
      <c r="L586" s="13">
        <v>13800</v>
      </c>
      <c r="M586" t="s">
        <v>50</v>
      </c>
      <c r="N586">
        <v>3773788000167</v>
      </c>
    </row>
    <row r="587" spans="1:14" x14ac:dyDescent="0.25">
      <c r="A587" s="12"/>
      <c r="B587" s="2"/>
      <c r="C587" s="3"/>
      <c r="D587" s="4"/>
      <c r="E587" s="16"/>
      <c r="F587" s="2"/>
      <c r="G587" s="5"/>
      <c r="H587" s="6"/>
      <c r="I587" s="7"/>
      <c r="J587" s="10"/>
      <c r="K587" t="str">
        <f>HYPERLINK("http://www8.mpce.mp.br/Empenhos/150501/NE/2024NE000662.pdf","2024NE000662")</f>
        <v>2024NE000662</v>
      </c>
      <c r="L587" s="13">
        <v>13800</v>
      </c>
      <c r="M587" t="s">
        <v>50</v>
      </c>
      <c r="N587">
        <v>3773788000167</v>
      </c>
    </row>
    <row r="588" spans="1:14" x14ac:dyDescent="0.25">
      <c r="A588" s="12"/>
      <c r="B588" s="2"/>
      <c r="C588" s="3"/>
      <c r="D588" s="4"/>
      <c r="E588" s="16"/>
      <c r="F588" s="2"/>
      <c r="G588" s="5"/>
      <c r="H588" s="6"/>
      <c r="I588" s="7"/>
      <c r="J588" s="10"/>
      <c r="K588" t="str">
        <f>HYPERLINK("http://www8.mpce.mp.br/Empenhos/150501/NE/2024NE000662.pdf","2024NE000662")</f>
        <v>2024NE000662</v>
      </c>
      <c r="L588" s="13">
        <v>13800</v>
      </c>
      <c r="M588" t="s">
        <v>50</v>
      </c>
      <c r="N588">
        <v>3773788000167</v>
      </c>
    </row>
    <row r="589" spans="1:14" x14ac:dyDescent="0.25">
      <c r="A589" s="12"/>
      <c r="B589" s="2"/>
      <c r="C589" s="3"/>
      <c r="D589" s="4"/>
      <c r="E589" s="16"/>
      <c r="F589" s="2"/>
      <c r="G589" s="5"/>
      <c r="H589" s="6"/>
      <c r="I589" s="7"/>
      <c r="J589" s="10"/>
      <c r="K589" t="str">
        <f>HYPERLINK("http://www8.mpce.mp.br/Empenhos/150501/NE/2024NE000662.pdf","2024NE000662")</f>
        <v>2024NE000662</v>
      </c>
      <c r="L589" s="13">
        <v>13800</v>
      </c>
      <c r="M589" t="s">
        <v>50</v>
      </c>
      <c r="N589">
        <v>3773788000167</v>
      </c>
    </row>
    <row r="590" spans="1:14" x14ac:dyDescent="0.25">
      <c r="A590" s="12"/>
      <c r="B590" s="2"/>
      <c r="C590" s="3"/>
      <c r="D590" s="4"/>
      <c r="E590" s="16"/>
      <c r="F590" s="2"/>
      <c r="G590" s="5"/>
      <c r="H590" s="6"/>
      <c r="I590" s="7"/>
      <c r="J590" s="10"/>
      <c r="K590" t="str">
        <f>HYPERLINK("http://www8.mpce.mp.br/Empenhos/150501/NE/2024NE000663.pdf","2024NE000663")</f>
        <v>2024NE000663</v>
      </c>
      <c r="L590" s="13">
        <v>12432.84</v>
      </c>
      <c r="M590" t="s">
        <v>50</v>
      </c>
      <c r="N590">
        <v>3773788000167</v>
      </c>
    </row>
    <row r="591" spans="1:14" x14ac:dyDescent="0.25">
      <c r="A591" s="12"/>
      <c r="B591" s="2"/>
      <c r="C591" s="3"/>
      <c r="D591" s="4"/>
      <c r="E591" s="16"/>
      <c r="F591" s="2"/>
      <c r="G591" s="5"/>
      <c r="H591" s="6"/>
      <c r="I591" s="7"/>
      <c r="J591" s="10"/>
      <c r="K591" t="str">
        <f>HYPERLINK("http://www8.mpce.mp.br/Empenhos/150501/NE/2024NE000664.pdf","2024NE000664")</f>
        <v>2024NE000664</v>
      </c>
      <c r="L591" s="13">
        <v>22563.68</v>
      </c>
      <c r="M591" t="s">
        <v>50</v>
      </c>
      <c r="N591">
        <v>3773788000167</v>
      </c>
    </row>
    <row r="592" spans="1:14" x14ac:dyDescent="0.25">
      <c r="A592" s="12"/>
      <c r="B592" s="2"/>
      <c r="C592" s="3"/>
      <c r="D592" s="4"/>
      <c r="E592" s="16"/>
      <c r="F592" s="2"/>
      <c r="G592" s="5"/>
      <c r="H592" s="6"/>
      <c r="I592" s="7"/>
      <c r="J592" s="10"/>
      <c r="K592" t="str">
        <f>HYPERLINK("http://www8.mpce.mp.br/Empenhos/150501/NE/2024NE000666.pdf","2024NE000666")</f>
        <v>2024NE000666</v>
      </c>
      <c r="L592" s="13">
        <v>35718.5</v>
      </c>
      <c r="M592" t="s">
        <v>50</v>
      </c>
      <c r="N592">
        <v>3773788000167</v>
      </c>
    </row>
    <row r="593" spans="1:14" x14ac:dyDescent="0.25">
      <c r="A593" s="12"/>
      <c r="B593" s="2"/>
      <c r="C593" s="3"/>
      <c r="D593" s="4"/>
      <c r="E593" s="16"/>
      <c r="F593" s="2"/>
      <c r="G593" s="5"/>
      <c r="H593" s="6"/>
      <c r="I593" s="7"/>
      <c r="J593" s="10"/>
      <c r="K593" t="str">
        <f>HYPERLINK("http://www8.mpce.mp.br/Empenhos/150501/NE/2024NE000666.pdf","2024NE000666")</f>
        <v>2024NE000666</v>
      </c>
      <c r="L593" s="13">
        <v>35718.5</v>
      </c>
      <c r="M593" t="s">
        <v>50</v>
      </c>
      <c r="N593">
        <v>3773788000167</v>
      </c>
    </row>
    <row r="594" spans="1:14" x14ac:dyDescent="0.25">
      <c r="A594" s="12"/>
      <c r="B594" s="2"/>
      <c r="C594" s="3"/>
      <c r="D594" s="4"/>
      <c r="E594" s="16"/>
      <c r="F594" s="2"/>
      <c r="G594" s="5"/>
      <c r="H594" s="6"/>
      <c r="I594" s="7"/>
      <c r="J594" s="10"/>
      <c r="K594" t="str">
        <f>HYPERLINK("http://www8.mpce.mp.br/Empenhos/150501/NE/2024NE000666.pdf","2024NE000666")</f>
        <v>2024NE000666</v>
      </c>
      <c r="L594" s="13">
        <v>35718.5</v>
      </c>
      <c r="M594" t="s">
        <v>50</v>
      </c>
      <c r="N594">
        <v>3773788000167</v>
      </c>
    </row>
    <row r="595" spans="1:14" x14ac:dyDescent="0.25">
      <c r="A595" s="12"/>
      <c r="B595" s="2"/>
      <c r="C595" s="3"/>
      <c r="D595" s="4"/>
      <c r="E595" s="16"/>
      <c r="F595" s="2"/>
      <c r="G595" s="5"/>
      <c r="H595" s="6"/>
      <c r="I595" s="7"/>
      <c r="J595" s="10"/>
      <c r="K595" t="str">
        <f>HYPERLINK("http://www8.mpce.mp.br/Empenhos/150501/NE/2024NE000666.pdf","2024NE000666")</f>
        <v>2024NE000666</v>
      </c>
      <c r="L595" s="13">
        <v>35718.5</v>
      </c>
      <c r="M595" t="s">
        <v>50</v>
      </c>
      <c r="N595">
        <v>3773788000167</v>
      </c>
    </row>
    <row r="596" spans="1:14" x14ac:dyDescent="0.25">
      <c r="A596" s="12"/>
      <c r="B596" s="2"/>
      <c r="C596" s="3"/>
      <c r="D596" s="4"/>
      <c r="E596" s="17"/>
      <c r="F596" s="2"/>
      <c r="G596" s="5"/>
      <c r="H596" s="6"/>
      <c r="I596" s="7"/>
      <c r="J596" s="10"/>
      <c r="K596" t="str">
        <f>HYPERLINK("http://www8.mpce.mp.br/Empenhos/150001/NE/2024NE000673.pdf","2024NE000673")</f>
        <v>2024NE000673</v>
      </c>
      <c r="L596">
        <v>900</v>
      </c>
      <c r="M596" t="s">
        <v>61</v>
      </c>
      <c r="N596">
        <v>7544786000157</v>
      </c>
    </row>
    <row r="597" spans="1:14" x14ac:dyDescent="0.25">
      <c r="A597" s="12"/>
      <c r="B597" s="2"/>
      <c r="C597" s="3"/>
      <c r="D597" s="4"/>
      <c r="E597" s="17"/>
      <c r="F597" s="2"/>
      <c r="G597" s="5"/>
      <c r="H597" s="6"/>
      <c r="I597" s="7"/>
      <c r="J597" s="10"/>
      <c r="K597" t="str">
        <f>HYPERLINK("http://www8.mpce.mp.br/Empenhos/150001/NE/2024NE000684.pdf","2024NE000684")</f>
        <v>2024NE000684</v>
      </c>
      <c r="L597">
        <v>188.73</v>
      </c>
      <c r="M597" t="s">
        <v>62</v>
      </c>
      <c r="N597">
        <v>5722202000160</v>
      </c>
    </row>
    <row r="598" spans="1:14" x14ac:dyDescent="0.25">
      <c r="A598" s="12"/>
      <c r="B598" s="2"/>
      <c r="C598" s="3"/>
      <c r="D598" s="4"/>
      <c r="E598" s="16"/>
      <c r="F598" s="2"/>
      <c r="G598" s="5"/>
      <c r="H598" s="6"/>
      <c r="I598" s="7"/>
      <c r="J598" s="10"/>
      <c r="K598" t="str">
        <f>HYPERLINK("http://www8.mpce.mp.br/Empenhos/150001/NE/2024NE000685.pdf","2024NE000685")</f>
        <v>2024NE000685</v>
      </c>
      <c r="L598">
        <v>150</v>
      </c>
      <c r="M598" t="s">
        <v>64</v>
      </c>
      <c r="N598">
        <v>29038683000158</v>
      </c>
    </row>
    <row r="599" spans="1:14" x14ac:dyDescent="0.25">
      <c r="A599" s="12"/>
      <c r="B599" s="2"/>
      <c r="C599" s="3"/>
      <c r="D599" s="4"/>
      <c r="E599" s="16"/>
      <c r="F599" s="2"/>
      <c r="G599" s="5"/>
      <c r="H599" s="6"/>
      <c r="I599" s="7"/>
      <c r="J599" s="10"/>
      <c r="K599" t="str">
        <f>HYPERLINK("http://www8.mpce.mp.br/Empenhos/150001/NE/2024NE000686.pdf","2024NE000686")</f>
        <v>2024NE000686</v>
      </c>
      <c r="L599">
        <v>900</v>
      </c>
      <c r="M599" t="s">
        <v>65</v>
      </c>
      <c r="N599">
        <v>7434954000151</v>
      </c>
    </row>
    <row r="600" spans="1:14" x14ac:dyDescent="0.25">
      <c r="A600" s="12"/>
      <c r="B600" s="2"/>
      <c r="C600" s="3"/>
      <c r="D600" s="4"/>
      <c r="E600" s="16"/>
      <c r="F600" s="2"/>
      <c r="G600" s="5"/>
      <c r="H600" s="6"/>
      <c r="I600" s="7"/>
      <c r="J600" s="10"/>
      <c r="K600" t="str">
        <f>HYPERLINK("http://www8.mpce.mp.br/Empenhos/150001/NE/2024NE000690.pdf","2024NE000690")</f>
        <v>2024NE000690</v>
      </c>
      <c r="L600">
        <v>735.48</v>
      </c>
      <c r="M600" t="s">
        <v>66</v>
      </c>
      <c r="N600">
        <v>7625932000179</v>
      </c>
    </row>
    <row r="601" spans="1:14" x14ac:dyDescent="0.25">
      <c r="A601" s="12"/>
      <c r="B601" s="2"/>
      <c r="C601" s="3"/>
      <c r="D601" s="4"/>
      <c r="E601" s="16"/>
      <c r="F601" s="2"/>
      <c r="G601" s="5"/>
      <c r="H601" s="6"/>
      <c r="I601" s="7"/>
      <c r="J601" s="10"/>
      <c r="K601" t="str">
        <f>HYPERLINK("http://www8.mpce.mp.br/Empenhos/150001/NE/2024NE000692.pdf","2024NE000692")</f>
        <v>2024NE000692</v>
      </c>
      <c r="L601">
        <v>226.05</v>
      </c>
      <c r="M601" t="s">
        <v>67</v>
      </c>
      <c r="N601">
        <v>7676836000150</v>
      </c>
    </row>
    <row r="602" spans="1:14" x14ac:dyDescent="0.25">
      <c r="A602" s="12"/>
      <c r="B602" s="2"/>
      <c r="C602" s="3"/>
      <c r="D602" s="4"/>
      <c r="E602" s="16"/>
      <c r="F602" s="2"/>
      <c r="G602" s="5"/>
      <c r="H602" s="6"/>
      <c r="I602" s="7"/>
      <c r="J602" s="10"/>
      <c r="K602" t="str">
        <f>HYPERLINK("http://www8.mpce.mp.br/Empenhos/150001/NE/2024NE000693.pdf","2024NE000693")</f>
        <v>2024NE000693</v>
      </c>
      <c r="L602">
        <v>615</v>
      </c>
      <c r="M602" t="s">
        <v>77</v>
      </c>
      <c r="N602">
        <v>7742778000115</v>
      </c>
    </row>
    <row r="603" spans="1:14" x14ac:dyDescent="0.25">
      <c r="A603" s="12"/>
      <c r="B603" s="2"/>
      <c r="C603" s="3"/>
      <c r="D603" s="4"/>
      <c r="E603" s="16"/>
      <c r="F603" s="2"/>
      <c r="G603" s="5"/>
      <c r="H603" s="6"/>
      <c r="I603" s="7"/>
      <c r="J603" s="10"/>
      <c r="K603" t="str">
        <f>HYPERLINK("http://www8.mpce.mp.br/Empenhos/150001/NE/2024NE000695.pdf","2024NE000695")</f>
        <v>2024NE000695</v>
      </c>
      <c r="L603" s="13">
        <v>3000</v>
      </c>
      <c r="M603" t="s">
        <v>68</v>
      </c>
      <c r="N603">
        <v>7817778000137</v>
      </c>
    </row>
    <row r="604" spans="1:14" x14ac:dyDescent="0.25">
      <c r="A604" s="12"/>
      <c r="B604" s="2"/>
      <c r="C604" s="3"/>
      <c r="D604" s="4"/>
      <c r="E604" s="16"/>
      <c r="F604" s="2"/>
      <c r="G604" s="5"/>
      <c r="H604" s="6"/>
      <c r="I604" s="7"/>
      <c r="J604" s="10"/>
      <c r="K604" t="str">
        <f>HYPERLINK("http://www8.mpce.mp.br/Empenhos/150001/NE/2024NE000696.pdf","2024NE000696")</f>
        <v>2024NE000696</v>
      </c>
      <c r="L604">
        <v>419.16</v>
      </c>
      <c r="M604" t="s">
        <v>71</v>
      </c>
      <c r="N604">
        <v>7852676000152</v>
      </c>
    </row>
    <row r="605" spans="1:14" x14ac:dyDescent="0.25">
      <c r="A605" s="12"/>
      <c r="B605" s="2"/>
      <c r="C605" s="3"/>
      <c r="D605" s="4"/>
      <c r="E605" s="16"/>
      <c r="F605" s="2"/>
      <c r="G605" s="5"/>
      <c r="H605" s="6"/>
      <c r="I605" s="7"/>
      <c r="J605" s="10"/>
      <c r="K605" t="str">
        <f>HYPERLINK("http://www8.mpce.mp.br/Empenhos/150501/NE/2024NE000697.pdf","2024NE000697")</f>
        <v>2024NE000697</v>
      </c>
      <c r="L605">
        <v>460.12</v>
      </c>
      <c r="M605" t="s">
        <v>46</v>
      </c>
      <c r="N605">
        <v>78214130387</v>
      </c>
    </row>
    <row r="606" spans="1:14" x14ac:dyDescent="0.25">
      <c r="A606" s="12"/>
      <c r="B606" s="2"/>
      <c r="C606" s="3"/>
      <c r="D606" s="4"/>
      <c r="E606" s="16"/>
      <c r="F606" s="2"/>
      <c r="G606" s="5"/>
      <c r="H606" s="6"/>
      <c r="I606" s="7"/>
      <c r="J606" s="10"/>
      <c r="K606" t="str">
        <f>HYPERLINK("http://www8.mpce.mp.br/Empenhos/150501/NE/2024NE000701.pdf","2024NE000701")</f>
        <v>2024NE000701</v>
      </c>
      <c r="L606" s="13">
        <v>31935.48</v>
      </c>
      <c r="M606" t="s">
        <v>50</v>
      </c>
      <c r="N606">
        <v>3773788000167</v>
      </c>
    </row>
    <row r="607" spans="1:14" x14ac:dyDescent="0.25">
      <c r="A607" s="12"/>
      <c r="B607" s="2"/>
      <c r="C607" s="3"/>
      <c r="D607" s="4"/>
      <c r="E607" s="16"/>
      <c r="F607" s="2"/>
      <c r="G607" s="5"/>
      <c r="H607" s="6"/>
      <c r="I607" s="7"/>
      <c r="J607" s="10"/>
      <c r="K607" t="str">
        <f>HYPERLINK("http://www8.mpce.mp.br/Empenhos/150501/NE/2024NE000701.pdf","2024NE000701")</f>
        <v>2024NE000701</v>
      </c>
      <c r="L607" s="13">
        <v>31935.48</v>
      </c>
      <c r="M607" t="s">
        <v>50</v>
      </c>
      <c r="N607">
        <v>3773788000167</v>
      </c>
    </row>
    <row r="608" spans="1:14" x14ac:dyDescent="0.25">
      <c r="A608" s="12"/>
      <c r="B608" s="2"/>
      <c r="C608" s="3"/>
      <c r="D608" s="4"/>
      <c r="E608" s="16"/>
      <c r="F608" s="2"/>
      <c r="G608" s="5"/>
      <c r="H608" s="6"/>
      <c r="I608" s="7"/>
      <c r="J608" s="10"/>
      <c r="K608" t="str">
        <f>HYPERLINK("http://www8.mpce.mp.br/Empenhos/150501/NE/2024NE000701.pdf","2024NE000701")</f>
        <v>2024NE000701</v>
      </c>
      <c r="L608" s="13">
        <v>31935.48</v>
      </c>
      <c r="M608" t="s">
        <v>50</v>
      </c>
      <c r="N608">
        <v>3773788000167</v>
      </c>
    </row>
    <row r="609" spans="1:14" x14ac:dyDescent="0.25">
      <c r="A609" s="12"/>
      <c r="B609" s="2"/>
      <c r="C609" s="3"/>
      <c r="D609" s="4"/>
      <c r="E609" s="16"/>
      <c r="F609" s="2"/>
      <c r="G609" s="5"/>
      <c r="H609" s="6"/>
      <c r="I609" s="7"/>
      <c r="J609" s="10"/>
      <c r="K609" t="str">
        <f>HYPERLINK("http://www8.mpce.mp.br/Empenhos/150001/NE/2024NE000702.pdf","2024NE000702")</f>
        <v>2024NE000702</v>
      </c>
      <c r="L609" s="13">
        <v>45000</v>
      </c>
      <c r="M609" t="s">
        <v>72</v>
      </c>
      <c r="N609">
        <v>7040108000157</v>
      </c>
    </row>
    <row r="610" spans="1:14" x14ac:dyDescent="0.25">
      <c r="A610" s="12"/>
      <c r="B610" s="2"/>
      <c r="C610" s="3"/>
      <c r="D610" s="4"/>
      <c r="E610" s="16"/>
      <c r="F610" s="2"/>
      <c r="G610" s="5"/>
      <c r="H610" s="6"/>
      <c r="I610" s="7"/>
      <c r="J610" s="10"/>
      <c r="K610" t="str">
        <f>HYPERLINK("http://www8.mpce.mp.br/Empenhos/150001/NE/2024NE000703.pdf","2024NE000703")</f>
        <v>2024NE000703</v>
      </c>
      <c r="L610" s="13">
        <v>2850</v>
      </c>
      <c r="M610" t="s">
        <v>85</v>
      </c>
      <c r="N610">
        <v>90347840001190</v>
      </c>
    </row>
    <row r="611" spans="1:14" x14ac:dyDescent="0.25">
      <c r="A611" s="12"/>
      <c r="B611" s="2"/>
      <c r="C611" s="3"/>
      <c r="D611" s="4"/>
      <c r="E611" s="16"/>
      <c r="F611" s="2"/>
      <c r="G611" s="5"/>
      <c r="H611" s="6"/>
      <c r="I611" s="7"/>
      <c r="J611" s="10"/>
      <c r="K611" t="str">
        <f>HYPERLINK("http://www8.mpce.mp.br/Empenhos/150501/NE/2024NE000703.pdf","2024NE000703")</f>
        <v>2024NE000703</v>
      </c>
      <c r="L611" s="13">
        <v>6216.42</v>
      </c>
      <c r="M611" t="s">
        <v>50</v>
      </c>
      <c r="N611">
        <v>3773788000167</v>
      </c>
    </row>
    <row r="612" spans="1:14" x14ac:dyDescent="0.25">
      <c r="A612" s="12"/>
      <c r="B612" s="2"/>
      <c r="C612" s="3"/>
      <c r="D612" s="4"/>
      <c r="E612" s="16"/>
      <c r="F612" s="2"/>
      <c r="G612" s="5"/>
      <c r="H612" s="6"/>
      <c r="I612" s="7"/>
      <c r="J612" s="10"/>
      <c r="K612" t="str">
        <f t="shared" ref="K612:K621" si="0">HYPERLINK("http://www8.mpce.mp.br/Empenhos/150501/NE/2024NE000704.pdf","2024NE000704")</f>
        <v>2024NE000704</v>
      </c>
      <c r="L612" s="13">
        <v>104500</v>
      </c>
      <c r="M612" t="s">
        <v>70</v>
      </c>
      <c r="N612">
        <v>82845322000104</v>
      </c>
    </row>
    <row r="613" spans="1:14" x14ac:dyDescent="0.25">
      <c r="A613" s="12"/>
      <c r="B613" s="2"/>
      <c r="C613" s="3"/>
      <c r="D613" s="4"/>
      <c r="E613" s="16"/>
      <c r="F613" s="2"/>
      <c r="G613" s="5"/>
      <c r="H613" s="6"/>
      <c r="I613" s="7"/>
      <c r="J613" s="10"/>
      <c r="K613" t="str">
        <f t="shared" si="0"/>
        <v>2024NE000704</v>
      </c>
      <c r="L613" s="13">
        <v>104500</v>
      </c>
      <c r="M613" t="s">
        <v>70</v>
      </c>
      <c r="N613">
        <v>82845322000104</v>
      </c>
    </row>
    <row r="614" spans="1:14" x14ac:dyDescent="0.25">
      <c r="A614" s="12"/>
      <c r="B614" s="2"/>
      <c r="C614" s="3"/>
      <c r="D614" s="4"/>
      <c r="E614" s="16"/>
      <c r="F614" s="2"/>
      <c r="G614" s="5"/>
      <c r="H614" s="6"/>
      <c r="I614" s="7"/>
      <c r="J614" s="10"/>
      <c r="K614" t="str">
        <f t="shared" si="0"/>
        <v>2024NE000704</v>
      </c>
      <c r="L614" s="13">
        <v>104500</v>
      </c>
      <c r="M614" t="s">
        <v>70</v>
      </c>
      <c r="N614">
        <v>82845322000104</v>
      </c>
    </row>
    <row r="615" spans="1:14" x14ac:dyDescent="0.25">
      <c r="A615" s="12"/>
      <c r="B615" s="2"/>
      <c r="C615" s="3"/>
      <c r="D615" s="4"/>
      <c r="E615" s="16"/>
      <c r="F615" s="2"/>
      <c r="G615" s="5"/>
      <c r="H615" s="6"/>
      <c r="I615" s="7"/>
      <c r="J615" s="10"/>
      <c r="K615" t="str">
        <f t="shared" si="0"/>
        <v>2024NE000704</v>
      </c>
      <c r="L615" s="13">
        <v>104500</v>
      </c>
      <c r="M615" t="s">
        <v>70</v>
      </c>
      <c r="N615">
        <v>82845322000104</v>
      </c>
    </row>
    <row r="616" spans="1:14" x14ac:dyDescent="0.25">
      <c r="A616" s="12"/>
      <c r="B616" s="2"/>
      <c r="C616" s="3"/>
      <c r="D616" s="4"/>
      <c r="E616" s="16"/>
      <c r="F616" s="2"/>
      <c r="G616" s="5"/>
      <c r="H616" s="6"/>
      <c r="I616" s="7"/>
      <c r="J616" s="10"/>
      <c r="K616" t="str">
        <f t="shared" si="0"/>
        <v>2024NE000704</v>
      </c>
      <c r="L616" s="13">
        <v>104500</v>
      </c>
      <c r="M616" t="s">
        <v>70</v>
      </c>
      <c r="N616">
        <v>82845322000104</v>
      </c>
    </row>
    <row r="617" spans="1:14" x14ac:dyDescent="0.25">
      <c r="A617" s="12"/>
      <c r="B617" s="2"/>
      <c r="C617" s="3"/>
      <c r="D617" s="4"/>
      <c r="E617" s="16"/>
      <c r="F617" s="2"/>
      <c r="G617" s="5"/>
      <c r="H617" s="6"/>
      <c r="I617" s="7"/>
      <c r="J617" s="10"/>
      <c r="K617" t="str">
        <f t="shared" si="0"/>
        <v>2024NE000704</v>
      </c>
      <c r="L617" s="13">
        <v>104500</v>
      </c>
      <c r="M617" t="s">
        <v>70</v>
      </c>
      <c r="N617">
        <v>82845322000104</v>
      </c>
    </row>
    <row r="618" spans="1:14" x14ac:dyDescent="0.25">
      <c r="A618" s="12"/>
      <c r="B618" s="2"/>
      <c r="C618" s="3"/>
      <c r="D618" s="4"/>
      <c r="E618" s="16"/>
      <c r="F618" s="2"/>
      <c r="G618" s="5"/>
      <c r="H618" s="6"/>
      <c r="I618" s="7"/>
      <c r="J618" s="10"/>
      <c r="K618" t="str">
        <f t="shared" si="0"/>
        <v>2024NE000704</v>
      </c>
      <c r="L618" s="13">
        <v>104500</v>
      </c>
      <c r="M618" t="s">
        <v>70</v>
      </c>
      <c r="N618">
        <v>82845322000104</v>
      </c>
    </row>
    <row r="619" spans="1:14" x14ac:dyDescent="0.25">
      <c r="A619" s="12"/>
      <c r="B619" s="2"/>
      <c r="C619" s="3"/>
      <c r="D619" s="4"/>
      <c r="E619" s="16"/>
      <c r="F619" s="2"/>
      <c r="G619" s="5"/>
      <c r="H619" s="6"/>
      <c r="I619" s="7"/>
      <c r="J619" s="10"/>
      <c r="K619" t="str">
        <f t="shared" si="0"/>
        <v>2024NE000704</v>
      </c>
      <c r="L619" s="13">
        <v>104500</v>
      </c>
      <c r="M619" t="s">
        <v>70</v>
      </c>
      <c r="N619">
        <v>82845322000104</v>
      </c>
    </row>
    <row r="620" spans="1:14" x14ac:dyDescent="0.25">
      <c r="A620" s="12"/>
      <c r="B620" s="2"/>
      <c r="C620" s="3"/>
      <c r="D620" s="4"/>
      <c r="E620" s="16"/>
      <c r="F620" s="2"/>
      <c r="G620" s="5"/>
      <c r="H620" s="6"/>
      <c r="I620" s="7"/>
      <c r="J620" s="10"/>
      <c r="K620" t="str">
        <f t="shared" si="0"/>
        <v>2024NE000704</v>
      </c>
      <c r="L620" s="13">
        <v>104500</v>
      </c>
      <c r="M620" t="s">
        <v>70</v>
      </c>
      <c r="N620">
        <v>82845322000104</v>
      </c>
    </row>
    <row r="621" spans="1:14" x14ac:dyDescent="0.25">
      <c r="A621" s="12"/>
      <c r="B621" s="2"/>
      <c r="C621" s="3"/>
      <c r="D621" s="4"/>
      <c r="E621" s="16"/>
      <c r="F621" s="2"/>
      <c r="G621" s="5"/>
      <c r="H621" s="6"/>
      <c r="I621" s="7"/>
      <c r="J621" s="10"/>
      <c r="K621" t="str">
        <f t="shared" si="0"/>
        <v>2024NE000704</v>
      </c>
      <c r="L621" s="13">
        <v>104500</v>
      </c>
      <c r="M621" t="s">
        <v>70</v>
      </c>
      <c r="N621">
        <v>82845322000104</v>
      </c>
    </row>
    <row r="622" spans="1:14" x14ac:dyDescent="0.25">
      <c r="A622" s="12"/>
      <c r="B622" s="2"/>
      <c r="C622" s="3"/>
      <c r="D622" s="4"/>
      <c r="E622" s="16"/>
      <c r="F622" s="2"/>
      <c r="G622" s="5"/>
      <c r="H622" s="6"/>
      <c r="I622" s="7"/>
      <c r="J622" s="10"/>
      <c r="K622" t="str">
        <f t="shared" ref="K622:K631" si="1">HYPERLINK("http://www8.mpce.mp.br/Empenhos/150501/NE/2024NE000705.pdf","2024NE000705")</f>
        <v>2024NE000705</v>
      </c>
      <c r="L622" s="13">
        <v>18529.2</v>
      </c>
      <c r="M622" t="s">
        <v>70</v>
      </c>
      <c r="N622">
        <v>82845322000104</v>
      </c>
    </row>
    <row r="623" spans="1:14" x14ac:dyDescent="0.25">
      <c r="A623" s="12"/>
      <c r="B623" s="2"/>
      <c r="C623" s="3"/>
      <c r="D623" s="4"/>
      <c r="E623" s="16"/>
      <c r="F623" s="2"/>
      <c r="G623" s="5"/>
      <c r="H623" s="6"/>
      <c r="I623" s="7"/>
      <c r="J623" s="10"/>
      <c r="K623" t="str">
        <f t="shared" si="1"/>
        <v>2024NE000705</v>
      </c>
      <c r="L623" s="13">
        <v>18529.2</v>
      </c>
      <c r="M623" t="s">
        <v>70</v>
      </c>
      <c r="N623">
        <v>82845322000104</v>
      </c>
    </row>
    <row r="624" spans="1:14" x14ac:dyDescent="0.25">
      <c r="A624" s="12"/>
      <c r="B624" s="2"/>
      <c r="C624" s="3"/>
      <c r="D624" s="4"/>
      <c r="E624" s="16"/>
      <c r="F624" s="2"/>
      <c r="G624" s="5"/>
      <c r="H624" s="6"/>
      <c r="I624" s="7"/>
      <c r="J624" s="10"/>
      <c r="K624" t="str">
        <f t="shared" si="1"/>
        <v>2024NE000705</v>
      </c>
      <c r="L624" s="13">
        <v>18529.2</v>
      </c>
      <c r="M624" t="s">
        <v>70</v>
      </c>
      <c r="N624">
        <v>82845322000104</v>
      </c>
    </row>
    <row r="625" spans="1:14" x14ac:dyDescent="0.25">
      <c r="A625" s="12"/>
      <c r="B625" s="2"/>
      <c r="C625" s="3"/>
      <c r="D625" s="4"/>
      <c r="E625" s="16"/>
      <c r="F625" s="2"/>
      <c r="G625" s="5"/>
      <c r="H625" s="6"/>
      <c r="I625" s="7"/>
      <c r="J625" s="10"/>
      <c r="K625" t="str">
        <f t="shared" si="1"/>
        <v>2024NE000705</v>
      </c>
      <c r="L625" s="13">
        <v>18529.2</v>
      </c>
      <c r="M625" t="s">
        <v>70</v>
      </c>
      <c r="N625">
        <v>82845322000104</v>
      </c>
    </row>
    <row r="626" spans="1:14" x14ac:dyDescent="0.25">
      <c r="A626" s="12"/>
      <c r="B626" s="2"/>
      <c r="C626" s="3"/>
      <c r="D626" s="4"/>
      <c r="E626" s="16"/>
      <c r="F626" s="2"/>
      <c r="G626" s="5"/>
      <c r="H626" s="6"/>
      <c r="I626" s="7"/>
      <c r="J626" s="10"/>
      <c r="K626" t="str">
        <f t="shared" si="1"/>
        <v>2024NE000705</v>
      </c>
      <c r="L626" s="13">
        <v>18529.2</v>
      </c>
      <c r="M626" t="s">
        <v>70</v>
      </c>
      <c r="N626">
        <v>82845322000104</v>
      </c>
    </row>
    <row r="627" spans="1:14" x14ac:dyDescent="0.25">
      <c r="A627" s="12"/>
      <c r="B627" s="2"/>
      <c r="C627" s="3"/>
      <c r="D627" s="4"/>
      <c r="E627" s="16"/>
      <c r="F627" s="2"/>
      <c r="G627" s="5"/>
      <c r="H627" s="6"/>
      <c r="I627" s="7"/>
      <c r="J627" s="10"/>
      <c r="K627" t="str">
        <f t="shared" si="1"/>
        <v>2024NE000705</v>
      </c>
      <c r="L627" s="13">
        <v>18529.2</v>
      </c>
      <c r="M627" t="s">
        <v>70</v>
      </c>
      <c r="N627">
        <v>82845322000104</v>
      </c>
    </row>
    <row r="628" spans="1:14" x14ac:dyDescent="0.25">
      <c r="A628" s="12"/>
      <c r="B628" s="2"/>
      <c r="C628" s="3"/>
      <c r="D628" s="4"/>
      <c r="E628" s="16"/>
      <c r="F628" s="2"/>
      <c r="G628" s="5"/>
      <c r="H628" s="6"/>
      <c r="I628" s="7"/>
      <c r="J628" s="10"/>
      <c r="K628" t="str">
        <f t="shared" si="1"/>
        <v>2024NE000705</v>
      </c>
      <c r="L628" s="13">
        <v>18529.2</v>
      </c>
      <c r="M628" t="s">
        <v>70</v>
      </c>
      <c r="N628">
        <v>82845322000104</v>
      </c>
    </row>
    <row r="629" spans="1:14" x14ac:dyDescent="0.25">
      <c r="A629" s="12"/>
      <c r="B629" s="2"/>
      <c r="C629" s="3"/>
      <c r="D629" s="4"/>
      <c r="E629" s="16"/>
      <c r="F629" s="2"/>
      <c r="G629" s="5"/>
      <c r="H629" s="6"/>
      <c r="I629" s="7"/>
      <c r="J629" s="10"/>
      <c r="K629" t="str">
        <f t="shared" si="1"/>
        <v>2024NE000705</v>
      </c>
      <c r="L629" s="13">
        <v>18529.2</v>
      </c>
      <c r="M629" t="s">
        <v>70</v>
      </c>
      <c r="N629">
        <v>82845322000104</v>
      </c>
    </row>
    <row r="630" spans="1:14" x14ac:dyDescent="0.25">
      <c r="A630" s="12"/>
      <c r="B630" s="2"/>
      <c r="C630" s="3"/>
      <c r="D630" s="4"/>
      <c r="E630" s="16"/>
      <c r="F630" s="2"/>
      <c r="G630" s="5"/>
      <c r="H630" s="6"/>
      <c r="I630" s="7"/>
      <c r="J630" s="10"/>
      <c r="K630" t="str">
        <f t="shared" si="1"/>
        <v>2024NE000705</v>
      </c>
      <c r="L630" s="13">
        <v>18529.2</v>
      </c>
      <c r="M630" t="s">
        <v>70</v>
      </c>
      <c r="N630">
        <v>82845322000104</v>
      </c>
    </row>
    <row r="631" spans="1:14" x14ac:dyDescent="0.25">
      <c r="A631" s="12"/>
      <c r="B631" s="2"/>
      <c r="C631" s="3"/>
      <c r="D631" s="4"/>
      <c r="E631" s="16"/>
      <c r="F631" s="2"/>
      <c r="G631" s="5"/>
      <c r="H631" s="6"/>
      <c r="I631" s="7"/>
      <c r="J631" s="10"/>
      <c r="K631" t="str">
        <f t="shared" si="1"/>
        <v>2024NE000705</v>
      </c>
      <c r="L631" s="13">
        <v>18529.2</v>
      </c>
      <c r="M631" t="s">
        <v>70</v>
      </c>
      <c r="N631">
        <v>82845322000104</v>
      </c>
    </row>
    <row r="632" spans="1:14" x14ac:dyDescent="0.25">
      <c r="A632" s="12"/>
      <c r="B632" s="2"/>
      <c r="C632" s="3"/>
      <c r="D632" s="4"/>
      <c r="E632" s="16"/>
      <c r="F632" s="2"/>
      <c r="G632" s="5"/>
      <c r="H632" s="6"/>
      <c r="I632" s="7"/>
      <c r="J632" s="10"/>
      <c r="K632" t="str">
        <f t="shared" ref="K632:K641" si="2">HYPERLINK("http://www8.mpce.mp.br/Empenhos/150501/NE/2024NE000706.pdf","2024NE000706")</f>
        <v>2024NE000706</v>
      </c>
      <c r="L632" s="13">
        <v>195000</v>
      </c>
      <c r="M632" t="s">
        <v>70</v>
      </c>
      <c r="N632">
        <v>82845322000104</v>
      </c>
    </row>
    <row r="633" spans="1:14" x14ac:dyDescent="0.25">
      <c r="A633" s="12"/>
      <c r="B633" s="2"/>
      <c r="C633" s="3"/>
      <c r="D633" s="4"/>
      <c r="E633" s="16"/>
      <c r="F633" s="2"/>
      <c r="G633" s="5"/>
      <c r="H633" s="6"/>
      <c r="I633" s="7"/>
      <c r="J633" s="10"/>
      <c r="K633" t="str">
        <f t="shared" si="2"/>
        <v>2024NE000706</v>
      </c>
      <c r="L633" s="13">
        <v>195000</v>
      </c>
      <c r="M633" t="s">
        <v>70</v>
      </c>
      <c r="N633">
        <v>82845322000104</v>
      </c>
    </row>
    <row r="634" spans="1:14" x14ac:dyDescent="0.25">
      <c r="A634" s="12"/>
      <c r="B634" s="2"/>
      <c r="C634" s="3"/>
      <c r="D634" s="4"/>
      <c r="E634" s="16"/>
      <c r="F634" s="2"/>
      <c r="G634" s="5"/>
      <c r="H634" s="6"/>
      <c r="I634" s="7"/>
      <c r="J634" s="10"/>
      <c r="K634" t="str">
        <f t="shared" si="2"/>
        <v>2024NE000706</v>
      </c>
      <c r="L634" s="13">
        <v>195000</v>
      </c>
      <c r="M634" t="s">
        <v>70</v>
      </c>
      <c r="N634">
        <v>82845322000104</v>
      </c>
    </row>
    <row r="635" spans="1:14" x14ac:dyDescent="0.25">
      <c r="A635" s="12"/>
      <c r="B635" s="2"/>
      <c r="C635" s="3"/>
      <c r="D635" s="4"/>
      <c r="E635" s="16"/>
      <c r="F635" s="2"/>
      <c r="G635" s="5"/>
      <c r="H635" s="6"/>
      <c r="I635" s="7"/>
      <c r="J635" s="10"/>
      <c r="K635" t="str">
        <f t="shared" si="2"/>
        <v>2024NE000706</v>
      </c>
      <c r="L635" s="13">
        <v>195000</v>
      </c>
      <c r="M635" t="s">
        <v>70</v>
      </c>
      <c r="N635">
        <v>82845322000104</v>
      </c>
    </row>
    <row r="636" spans="1:14" x14ac:dyDescent="0.25">
      <c r="A636" s="12"/>
      <c r="B636" s="2"/>
      <c r="C636" s="3"/>
      <c r="D636" s="4"/>
      <c r="E636" s="16"/>
      <c r="F636" s="2"/>
      <c r="G636" s="5"/>
      <c r="H636" s="6"/>
      <c r="I636" s="7"/>
      <c r="J636" s="10"/>
      <c r="K636" t="str">
        <f t="shared" si="2"/>
        <v>2024NE000706</v>
      </c>
      <c r="L636" s="13">
        <v>195000</v>
      </c>
      <c r="M636" t="s">
        <v>70</v>
      </c>
      <c r="N636">
        <v>82845322000104</v>
      </c>
    </row>
    <row r="637" spans="1:14" x14ac:dyDescent="0.25">
      <c r="A637" s="12"/>
      <c r="B637" s="2"/>
      <c r="C637" s="3"/>
      <c r="D637" s="4"/>
      <c r="E637" s="16"/>
      <c r="F637" s="2"/>
      <c r="G637" s="5"/>
      <c r="H637" s="6"/>
      <c r="I637" s="7"/>
      <c r="J637" s="10"/>
      <c r="K637" t="str">
        <f t="shared" si="2"/>
        <v>2024NE000706</v>
      </c>
      <c r="L637" s="13">
        <v>195000</v>
      </c>
      <c r="M637" t="s">
        <v>70</v>
      </c>
      <c r="N637">
        <v>82845322000104</v>
      </c>
    </row>
    <row r="638" spans="1:14" x14ac:dyDescent="0.25">
      <c r="A638" s="12"/>
      <c r="B638" s="2"/>
      <c r="C638" s="3"/>
      <c r="D638" s="4"/>
      <c r="E638" s="16"/>
      <c r="F638" s="2"/>
      <c r="G638" s="5"/>
      <c r="H638" s="6"/>
      <c r="I638" s="7"/>
      <c r="J638" s="10"/>
      <c r="K638" t="str">
        <f t="shared" si="2"/>
        <v>2024NE000706</v>
      </c>
      <c r="L638" s="13">
        <v>195000</v>
      </c>
      <c r="M638" t="s">
        <v>70</v>
      </c>
      <c r="N638">
        <v>82845322000104</v>
      </c>
    </row>
    <row r="639" spans="1:14" x14ac:dyDescent="0.25">
      <c r="A639" s="12"/>
      <c r="B639" s="2"/>
      <c r="C639" s="3"/>
      <c r="D639" s="4"/>
      <c r="E639" s="16"/>
      <c r="F639" s="2"/>
      <c r="G639" s="5"/>
      <c r="H639" s="6"/>
      <c r="I639" s="7"/>
      <c r="J639" s="10"/>
      <c r="K639" t="str">
        <f t="shared" si="2"/>
        <v>2024NE000706</v>
      </c>
      <c r="L639" s="13">
        <v>195000</v>
      </c>
      <c r="M639" t="s">
        <v>70</v>
      </c>
      <c r="N639">
        <v>82845322000104</v>
      </c>
    </row>
    <row r="640" spans="1:14" x14ac:dyDescent="0.25">
      <c r="A640" s="12"/>
      <c r="B640" s="2"/>
      <c r="C640" s="3"/>
      <c r="D640" s="4"/>
      <c r="E640" s="16"/>
      <c r="F640" s="2"/>
      <c r="G640" s="5"/>
      <c r="H640" s="6"/>
      <c r="I640" s="7"/>
      <c r="J640" s="10"/>
      <c r="K640" t="str">
        <f t="shared" si="2"/>
        <v>2024NE000706</v>
      </c>
      <c r="L640" s="13">
        <v>195000</v>
      </c>
      <c r="M640" t="s">
        <v>70</v>
      </c>
      <c r="N640">
        <v>82845322000104</v>
      </c>
    </row>
    <row r="641" spans="1:14" x14ac:dyDescent="0.25">
      <c r="A641" s="12"/>
      <c r="B641" s="2"/>
      <c r="C641" s="3"/>
      <c r="D641" s="4"/>
      <c r="E641" s="16"/>
      <c r="F641" s="2"/>
      <c r="G641" s="5"/>
      <c r="H641" s="6"/>
      <c r="I641" s="7"/>
      <c r="J641" s="10"/>
      <c r="K641" t="str">
        <f t="shared" si="2"/>
        <v>2024NE000706</v>
      </c>
      <c r="L641" s="13">
        <v>195000</v>
      </c>
      <c r="M641" t="s">
        <v>70</v>
      </c>
      <c r="N641">
        <v>82845322000104</v>
      </c>
    </row>
    <row r="642" spans="1:14" x14ac:dyDescent="0.25">
      <c r="A642" s="12"/>
      <c r="B642" s="2"/>
      <c r="C642" s="3"/>
      <c r="D642" s="4"/>
      <c r="E642" s="17"/>
      <c r="F642" s="2"/>
      <c r="G642" s="5"/>
      <c r="H642" s="6"/>
      <c r="I642" s="7"/>
      <c r="J642" s="10"/>
      <c r="K642" t="str">
        <f t="shared" ref="K642:K651" si="3">HYPERLINK("http://www8.mpce.mp.br/Empenhos/150501/NE/2024NE000707.pdf","2024NE000707")</f>
        <v>2024NE000707</v>
      </c>
      <c r="L642" s="13">
        <v>97142.66</v>
      </c>
      <c r="M642" t="s">
        <v>70</v>
      </c>
      <c r="N642">
        <v>82845322000104</v>
      </c>
    </row>
    <row r="643" spans="1:14" x14ac:dyDescent="0.25">
      <c r="A643" s="12"/>
      <c r="B643" s="2"/>
      <c r="C643" s="3"/>
      <c r="D643" s="4"/>
      <c r="E643" s="16"/>
      <c r="F643" s="2"/>
      <c r="G643" s="5"/>
      <c r="H643" s="6"/>
      <c r="I643" s="7"/>
      <c r="J643" s="10"/>
      <c r="K643" t="str">
        <f t="shared" si="3"/>
        <v>2024NE000707</v>
      </c>
      <c r="L643" s="13">
        <v>97142.66</v>
      </c>
      <c r="M643" t="s">
        <v>70</v>
      </c>
      <c r="N643">
        <v>82845322000104</v>
      </c>
    </row>
    <row r="644" spans="1:14" x14ac:dyDescent="0.25">
      <c r="A644" s="12"/>
      <c r="B644" s="2"/>
      <c r="C644" s="3"/>
      <c r="D644" s="4"/>
      <c r="E644" s="16"/>
      <c r="F644" s="2"/>
      <c r="G644" s="5"/>
      <c r="H644" s="6"/>
      <c r="I644" s="7"/>
      <c r="J644" s="10"/>
      <c r="K644" t="str">
        <f t="shared" si="3"/>
        <v>2024NE000707</v>
      </c>
      <c r="L644" s="13">
        <v>97142.66</v>
      </c>
      <c r="M644" t="s">
        <v>70</v>
      </c>
      <c r="N644">
        <v>82845322000104</v>
      </c>
    </row>
    <row r="645" spans="1:14" x14ac:dyDescent="0.25">
      <c r="A645" s="12"/>
      <c r="B645" s="2"/>
      <c r="C645" s="3"/>
      <c r="D645" s="4"/>
      <c r="E645" s="16"/>
      <c r="F645" s="2"/>
      <c r="G645" s="5"/>
      <c r="H645" s="6"/>
      <c r="I645" s="7"/>
      <c r="J645" s="10"/>
      <c r="K645" t="str">
        <f t="shared" si="3"/>
        <v>2024NE000707</v>
      </c>
      <c r="L645" s="13">
        <v>97142.66</v>
      </c>
      <c r="M645" t="s">
        <v>70</v>
      </c>
      <c r="N645">
        <v>82845322000104</v>
      </c>
    </row>
    <row r="646" spans="1:14" x14ac:dyDescent="0.25">
      <c r="A646" s="12"/>
      <c r="B646" s="2"/>
      <c r="C646" s="3"/>
      <c r="D646" s="4"/>
      <c r="E646" s="16"/>
      <c r="F646" s="2"/>
      <c r="G646" s="5"/>
      <c r="H646" s="6"/>
      <c r="I646" s="7"/>
      <c r="J646" s="10"/>
      <c r="K646" t="str">
        <f t="shared" si="3"/>
        <v>2024NE000707</v>
      </c>
      <c r="L646" s="13">
        <v>97142.66</v>
      </c>
      <c r="M646" t="s">
        <v>70</v>
      </c>
      <c r="N646">
        <v>82845322000104</v>
      </c>
    </row>
    <row r="647" spans="1:14" x14ac:dyDescent="0.25">
      <c r="A647" s="12"/>
      <c r="B647" s="2"/>
      <c r="C647" s="3"/>
      <c r="D647" s="4"/>
      <c r="E647" s="16"/>
      <c r="F647" s="2"/>
      <c r="G647" s="5"/>
      <c r="H647" s="6"/>
      <c r="I647" s="7"/>
      <c r="J647" s="10"/>
      <c r="K647" t="str">
        <f t="shared" si="3"/>
        <v>2024NE000707</v>
      </c>
      <c r="L647" s="13">
        <v>97142.66</v>
      </c>
      <c r="M647" t="s">
        <v>70</v>
      </c>
      <c r="N647">
        <v>82845322000104</v>
      </c>
    </row>
    <row r="648" spans="1:14" x14ac:dyDescent="0.25">
      <c r="A648" s="12"/>
      <c r="B648" s="2"/>
      <c r="C648" s="3"/>
      <c r="D648" s="4"/>
      <c r="E648" s="16"/>
      <c r="F648" s="2"/>
      <c r="G648" s="5"/>
      <c r="H648" s="6"/>
      <c r="I648" s="7"/>
      <c r="J648" s="10"/>
      <c r="K648" t="str">
        <f t="shared" si="3"/>
        <v>2024NE000707</v>
      </c>
      <c r="L648" s="13">
        <v>97142.66</v>
      </c>
      <c r="M648" t="s">
        <v>70</v>
      </c>
      <c r="N648">
        <v>82845322000104</v>
      </c>
    </row>
    <row r="649" spans="1:14" x14ac:dyDescent="0.25">
      <c r="A649" s="12"/>
      <c r="B649" s="2"/>
      <c r="C649" s="3"/>
      <c r="D649" s="4"/>
      <c r="E649" s="16"/>
      <c r="F649" s="2"/>
      <c r="G649" s="5"/>
      <c r="H649" s="6"/>
      <c r="I649" s="7"/>
      <c r="J649" s="10"/>
      <c r="K649" t="str">
        <f t="shared" si="3"/>
        <v>2024NE000707</v>
      </c>
      <c r="L649" s="13">
        <v>97142.66</v>
      </c>
      <c r="M649" t="s">
        <v>70</v>
      </c>
      <c r="N649">
        <v>82845322000104</v>
      </c>
    </row>
    <row r="650" spans="1:14" x14ac:dyDescent="0.25">
      <c r="A650" s="12"/>
      <c r="B650" s="2"/>
      <c r="C650" s="3"/>
      <c r="D650" s="4"/>
      <c r="E650" s="16"/>
      <c r="F650" s="2"/>
      <c r="G650" s="5"/>
      <c r="H650" s="6"/>
      <c r="I650" s="7"/>
      <c r="J650" s="10"/>
      <c r="K650" t="str">
        <f t="shared" si="3"/>
        <v>2024NE000707</v>
      </c>
      <c r="L650" s="13">
        <v>97142.66</v>
      </c>
      <c r="M650" t="s">
        <v>70</v>
      </c>
      <c r="N650">
        <v>82845322000104</v>
      </c>
    </row>
    <row r="651" spans="1:14" x14ac:dyDescent="0.25">
      <c r="A651" s="12"/>
      <c r="B651" s="2"/>
      <c r="C651" s="3"/>
      <c r="D651" s="4"/>
      <c r="E651" s="16"/>
      <c r="F651" s="2"/>
      <c r="G651" s="5"/>
      <c r="H651" s="6"/>
      <c r="I651" s="7"/>
      <c r="J651" s="10"/>
      <c r="K651" t="str">
        <f t="shared" si="3"/>
        <v>2024NE000707</v>
      </c>
      <c r="L651" s="13">
        <v>97142.66</v>
      </c>
      <c r="M651" t="s">
        <v>70</v>
      </c>
      <c r="N651">
        <v>82845322000104</v>
      </c>
    </row>
    <row r="652" spans="1:14" x14ac:dyDescent="0.25">
      <c r="A652" s="12"/>
      <c r="B652" s="2"/>
      <c r="C652" s="3"/>
      <c r="D652" s="4"/>
      <c r="E652" s="16"/>
      <c r="F652" s="2"/>
      <c r="G652" s="5"/>
      <c r="H652" s="6"/>
      <c r="I652" s="7"/>
      <c r="J652" s="10"/>
      <c r="K652" t="str">
        <f t="shared" ref="K652:K661" si="4">HYPERLINK("http://www8.mpce.mp.br/Empenhos/150501/NE/2024NE000708.pdf","2024NE000708")</f>
        <v>2024NE000708</v>
      </c>
      <c r="L652" s="13">
        <v>228249.60000000001</v>
      </c>
      <c r="M652" t="s">
        <v>70</v>
      </c>
      <c r="N652">
        <v>82845322000104</v>
      </c>
    </row>
    <row r="653" spans="1:14" x14ac:dyDescent="0.25">
      <c r="A653" s="12"/>
      <c r="B653" s="2"/>
      <c r="C653" s="3"/>
      <c r="D653" s="4"/>
      <c r="E653" s="16"/>
      <c r="F653" s="2"/>
      <c r="G653" s="5"/>
      <c r="H653" s="6"/>
      <c r="I653" s="7"/>
      <c r="J653" s="10"/>
      <c r="K653" t="str">
        <f t="shared" si="4"/>
        <v>2024NE000708</v>
      </c>
      <c r="L653" s="13">
        <v>228249.60000000001</v>
      </c>
      <c r="M653" t="s">
        <v>70</v>
      </c>
      <c r="N653">
        <v>82845322000104</v>
      </c>
    </row>
    <row r="654" spans="1:14" x14ac:dyDescent="0.25">
      <c r="A654" s="12"/>
      <c r="B654" s="2"/>
      <c r="C654" s="3"/>
      <c r="D654" s="4"/>
      <c r="E654" s="16"/>
      <c r="F654" s="2"/>
      <c r="G654" s="5"/>
      <c r="H654" s="6"/>
      <c r="I654" s="7"/>
      <c r="J654" s="10"/>
      <c r="K654" t="str">
        <f t="shared" si="4"/>
        <v>2024NE000708</v>
      </c>
      <c r="L654" s="13">
        <v>228249.60000000001</v>
      </c>
      <c r="M654" t="s">
        <v>70</v>
      </c>
      <c r="N654">
        <v>82845322000104</v>
      </c>
    </row>
    <row r="655" spans="1:14" x14ac:dyDescent="0.25">
      <c r="A655" s="12"/>
      <c r="B655" s="2"/>
      <c r="C655" s="3"/>
      <c r="D655" s="4"/>
      <c r="E655" s="16"/>
      <c r="F655" s="2"/>
      <c r="G655" s="5"/>
      <c r="H655" s="6"/>
      <c r="I655" s="7"/>
      <c r="J655" s="10"/>
      <c r="K655" t="str">
        <f t="shared" si="4"/>
        <v>2024NE000708</v>
      </c>
      <c r="L655" s="13">
        <v>228249.60000000001</v>
      </c>
      <c r="M655" t="s">
        <v>70</v>
      </c>
      <c r="N655">
        <v>82845322000104</v>
      </c>
    </row>
    <row r="656" spans="1:14" x14ac:dyDescent="0.25">
      <c r="A656" s="12"/>
      <c r="B656" s="2"/>
      <c r="C656" s="3"/>
      <c r="D656" s="4"/>
      <c r="E656" s="16"/>
      <c r="F656" s="2"/>
      <c r="G656" s="5"/>
      <c r="H656" s="6"/>
      <c r="I656" s="7"/>
      <c r="J656" s="10"/>
      <c r="K656" t="str">
        <f t="shared" si="4"/>
        <v>2024NE000708</v>
      </c>
      <c r="L656" s="13">
        <v>228249.60000000001</v>
      </c>
      <c r="M656" t="s">
        <v>70</v>
      </c>
      <c r="N656">
        <v>82845322000104</v>
      </c>
    </row>
    <row r="657" spans="1:14" x14ac:dyDescent="0.25">
      <c r="A657" s="12"/>
      <c r="B657" s="2"/>
      <c r="C657" s="3"/>
      <c r="D657" s="4"/>
      <c r="E657" s="16"/>
      <c r="F657" s="2"/>
      <c r="G657" s="5"/>
      <c r="H657" s="6"/>
      <c r="I657" s="7"/>
      <c r="J657" s="10"/>
      <c r="K657" t="str">
        <f t="shared" si="4"/>
        <v>2024NE000708</v>
      </c>
      <c r="L657" s="13">
        <v>228249.60000000001</v>
      </c>
      <c r="M657" t="s">
        <v>70</v>
      </c>
      <c r="N657">
        <v>82845322000104</v>
      </c>
    </row>
    <row r="658" spans="1:14" x14ac:dyDescent="0.25">
      <c r="A658" s="12"/>
      <c r="B658" s="2"/>
      <c r="C658" s="3"/>
      <c r="D658" s="4"/>
      <c r="E658" s="16"/>
      <c r="F658" s="2"/>
      <c r="G658" s="5"/>
      <c r="H658" s="6"/>
      <c r="I658" s="7"/>
      <c r="J658" s="10"/>
      <c r="K658" t="str">
        <f t="shared" si="4"/>
        <v>2024NE000708</v>
      </c>
      <c r="L658" s="13">
        <v>228249.60000000001</v>
      </c>
      <c r="M658" t="s">
        <v>70</v>
      </c>
      <c r="N658">
        <v>82845322000104</v>
      </c>
    </row>
    <row r="659" spans="1:14" x14ac:dyDescent="0.25">
      <c r="A659" s="12"/>
      <c r="B659" s="2"/>
      <c r="C659" s="3"/>
      <c r="D659" s="4"/>
      <c r="E659" s="16"/>
      <c r="F659" s="2"/>
      <c r="G659" s="5"/>
      <c r="H659" s="6"/>
      <c r="I659" s="7"/>
      <c r="J659" s="10"/>
      <c r="K659" t="str">
        <f t="shared" si="4"/>
        <v>2024NE000708</v>
      </c>
      <c r="L659" s="13">
        <v>228249.60000000001</v>
      </c>
      <c r="M659" t="s">
        <v>70</v>
      </c>
      <c r="N659">
        <v>82845322000104</v>
      </c>
    </row>
    <row r="660" spans="1:14" x14ac:dyDescent="0.25">
      <c r="A660" s="12"/>
      <c r="B660" s="2"/>
      <c r="C660" s="3"/>
      <c r="D660" s="4"/>
      <c r="E660" s="16"/>
      <c r="F660" s="2"/>
      <c r="G660" s="5"/>
      <c r="H660" s="6"/>
      <c r="I660" s="7"/>
      <c r="J660" s="10"/>
      <c r="K660" t="str">
        <f t="shared" si="4"/>
        <v>2024NE000708</v>
      </c>
      <c r="L660" s="13">
        <v>228249.60000000001</v>
      </c>
      <c r="M660" t="s">
        <v>70</v>
      </c>
      <c r="N660">
        <v>82845322000104</v>
      </c>
    </row>
    <row r="661" spans="1:14" x14ac:dyDescent="0.25">
      <c r="A661" s="12"/>
      <c r="B661" s="2"/>
      <c r="C661" s="3"/>
      <c r="D661" s="4"/>
      <c r="E661" s="16"/>
      <c r="F661" s="2"/>
      <c r="G661" s="5"/>
      <c r="H661" s="6"/>
      <c r="I661" s="7"/>
      <c r="J661" s="10"/>
      <c r="K661" t="str">
        <f t="shared" si="4"/>
        <v>2024NE000708</v>
      </c>
      <c r="L661" s="13">
        <v>228249.60000000001</v>
      </c>
      <c r="M661" t="s">
        <v>70</v>
      </c>
      <c r="N661">
        <v>82845322000104</v>
      </c>
    </row>
    <row r="662" spans="1:14" x14ac:dyDescent="0.25">
      <c r="A662" s="12"/>
      <c r="B662" s="2"/>
      <c r="C662" s="3"/>
      <c r="D662" s="4"/>
      <c r="E662" s="16"/>
      <c r="F662" s="2"/>
      <c r="G662" s="5"/>
      <c r="H662" s="6"/>
      <c r="I662" s="7"/>
      <c r="J662" s="10"/>
      <c r="K662" t="str">
        <f t="shared" ref="K662:K671" si="5">HYPERLINK("http://www8.mpce.mp.br/Empenhos/150501/NE/2024NE000709.pdf","2024NE000709")</f>
        <v>2024NE000709</v>
      </c>
      <c r="L662" s="13">
        <v>204570.66</v>
      </c>
      <c r="M662" t="s">
        <v>70</v>
      </c>
      <c r="N662">
        <v>82845322000104</v>
      </c>
    </row>
    <row r="663" spans="1:14" x14ac:dyDescent="0.25">
      <c r="A663" s="12"/>
      <c r="B663" s="2"/>
      <c r="C663" s="3"/>
      <c r="D663" s="4"/>
      <c r="E663" s="16"/>
      <c r="F663" s="2"/>
      <c r="G663" s="5"/>
      <c r="H663" s="6"/>
      <c r="I663" s="7"/>
      <c r="J663" s="10"/>
      <c r="K663" t="str">
        <f t="shared" si="5"/>
        <v>2024NE000709</v>
      </c>
      <c r="L663" s="13">
        <v>204570.66</v>
      </c>
      <c r="M663" t="s">
        <v>70</v>
      </c>
      <c r="N663">
        <v>82845322000104</v>
      </c>
    </row>
    <row r="664" spans="1:14" x14ac:dyDescent="0.25">
      <c r="A664" s="12"/>
      <c r="B664" s="2"/>
      <c r="C664" s="3"/>
      <c r="D664" s="4"/>
      <c r="E664" s="16"/>
      <c r="F664" s="2"/>
      <c r="G664" s="5"/>
      <c r="H664" s="6"/>
      <c r="I664" s="7"/>
      <c r="J664" s="10"/>
      <c r="K664" t="str">
        <f t="shared" si="5"/>
        <v>2024NE000709</v>
      </c>
      <c r="L664" s="13">
        <v>204570.66</v>
      </c>
      <c r="M664" t="s">
        <v>70</v>
      </c>
      <c r="N664">
        <v>82845322000104</v>
      </c>
    </row>
    <row r="665" spans="1:14" x14ac:dyDescent="0.25">
      <c r="A665" s="12"/>
      <c r="B665" s="2"/>
      <c r="C665" s="3"/>
      <c r="D665" s="4"/>
      <c r="E665" s="16"/>
      <c r="F665" s="2"/>
      <c r="G665" s="5"/>
      <c r="H665" s="6"/>
      <c r="I665" s="7"/>
      <c r="J665" s="10"/>
      <c r="K665" t="str">
        <f t="shared" si="5"/>
        <v>2024NE000709</v>
      </c>
      <c r="L665" s="13">
        <v>204570.66</v>
      </c>
      <c r="M665" t="s">
        <v>70</v>
      </c>
      <c r="N665">
        <v>82845322000104</v>
      </c>
    </row>
    <row r="666" spans="1:14" x14ac:dyDescent="0.25">
      <c r="A666" s="12"/>
      <c r="B666" s="2"/>
      <c r="C666" s="3"/>
      <c r="D666" s="4"/>
      <c r="E666" s="16"/>
      <c r="F666" s="2"/>
      <c r="G666" s="5"/>
      <c r="H666" s="6"/>
      <c r="I666" s="7"/>
      <c r="J666" s="10"/>
      <c r="K666" t="str">
        <f t="shared" si="5"/>
        <v>2024NE000709</v>
      </c>
      <c r="L666" s="13">
        <v>204570.66</v>
      </c>
      <c r="M666" t="s">
        <v>70</v>
      </c>
      <c r="N666">
        <v>82845322000104</v>
      </c>
    </row>
    <row r="667" spans="1:14" x14ac:dyDescent="0.25">
      <c r="A667" s="12"/>
      <c r="B667" s="2"/>
      <c r="C667" s="3"/>
      <c r="D667" s="4"/>
      <c r="E667" s="16"/>
      <c r="F667" s="2"/>
      <c r="G667" s="5"/>
      <c r="H667" s="6"/>
      <c r="I667" s="7"/>
      <c r="J667" s="10"/>
      <c r="K667" t="str">
        <f t="shared" si="5"/>
        <v>2024NE000709</v>
      </c>
      <c r="L667" s="13">
        <v>204570.66</v>
      </c>
      <c r="M667" t="s">
        <v>70</v>
      </c>
      <c r="N667">
        <v>82845322000104</v>
      </c>
    </row>
    <row r="668" spans="1:14" x14ac:dyDescent="0.25">
      <c r="A668" s="12"/>
      <c r="B668" s="2"/>
      <c r="C668" s="3"/>
      <c r="D668" s="4"/>
      <c r="E668" s="16"/>
      <c r="F668" s="2"/>
      <c r="G668" s="5"/>
      <c r="H668" s="6"/>
      <c r="I668" s="7"/>
      <c r="J668" s="10"/>
      <c r="K668" t="str">
        <f t="shared" si="5"/>
        <v>2024NE000709</v>
      </c>
      <c r="L668" s="13">
        <v>204570.66</v>
      </c>
      <c r="M668" t="s">
        <v>70</v>
      </c>
      <c r="N668">
        <v>82845322000104</v>
      </c>
    </row>
    <row r="669" spans="1:14" x14ac:dyDescent="0.25">
      <c r="A669" s="12"/>
      <c r="B669" s="2"/>
      <c r="C669" s="3"/>
      <c r="D669" s="4"/>
      <c r="E669" s="16"/>
      <c r="F669" s="2"/>
      <c r="G669" s="5"/>
      <c r="H669" s="6"/>
      <c r="I669" s="7"/>
      <c r="J669" s="10"/>
      <c r="K669" t="str">
        <f t="shared" si="5"/>
        <v>2024NE000709</v>
      </c>
      <c r="L669" s="13">
        <v>204570.66</v>
      </c>
      <c r="M669" t="s">
        <v>70</v>
      </c>
      <c r="N669">
        <v>82845322000104</v>
      </c>
    </row>
    <row r="670" spans="1:14" x14ac:dyDescent="0.25">
      <c r="A670" s="12"/>
      <c r="B670" s="2"/>
      <c r="C670" s="3"/>
      <c r="D670" s="4"/>
      <c r="E670" s="16"/>
      <c r="F670" s="2"/>
      <c r="G670" s="5"/>
      <c r="H670" s="6"/>
      <c r="I670" s="7"/>
      <c r="J670" s="10"/>
      <c r="K670" t="str">
        <f t="shared" si="5"/>
        <v>2024NE000709</v>
      </c>
      <c r="L670" s="13">
        <v>204570.66</v>
      </c>
      <c r="M670" t="s">
        <v>70</v>
      </c>
      <c r="N670">
        <v>82845322000104</v>
      </c>
    </row>
    <row r="671" spans="1:14" x14ac:dyDescent="0.25">
      <c r="A671" s="12"/>
      <c r="B671" s="2"/>
      <c r="C671" s="3"/>
      <c r="D671" s="4"/>
      <c r="E671" s="16"/>
      <c r="F671" s="2"/>
      <c r="G671" s="5"/>
      <c r="H671" s="6"/>
      <c r="I671" s="7"/>
      <c r="J671" s="10"/>
      <c r="K671" t="str">
        <f t="shared" si="5"/>
        <v>2024NE000709</v>
      </c>
      <c r="L671" s="13">
        <v>204570.66</v>
      </c>
      <c r="M671" t="s">
        <v>70</v>
      </c>
      <c r="N671">
        <v>82845322000104</v>
      </c>
    </row>
    <row r="672" spans="1:14" x14ac:dyDescent="0.25">
      <c r="A672" s="12"/>
      <c r="B672" s="2"/>
      <c r="C672" s="3"/>
      <c r="D672" s="4"/>
      <c r="E672" s="16"/>
      <c r="F672" s="2"/>
      <c r="G672" s="5"/>
      <c r="H672" s="6"/>
      <c r="I672" s="7"/>
      <c r="J672" s="10"/>
      <c r="K672" t="str">
        <f t="shared" ref="K672:K681" si="6">HYPERLINK("http://www8.mpce.mp.br/Empenhos/150501/NE/2024NE000710.pdf","2024NE000710")</f>
        <v>2024NE000710</v>
      </c>
      <c r="L672" s="13">
        <v>110144</v>
      </c>
      <c r="M672" t="s">
        <v>70</v>
      </c>
      <c r="N672">
        <v>82845322000104</v>
      </c>
    </row>
    <row r="673" spans="1:14" x14ac:dyDescent="0.25">
      <c r="A673" s="12"/>
      <c r="B673" s="2"/>
      <c r="C673" s="3"/>
      <c r="D673" s="4"/>
      <c r="E673" s="16"/>
      <c r="F673" s="2"/>
      <c r="G673" s="5"/>
      <c r="H673" s="6"/>
      <c r="I673" s="7"/>
      <c r="J673" s="10"/>
      <c r="K673" t="str">
        <f t="shared" si="6"/>
        <v>2024NE000710</v>
      </c>
      <c r="L673" s="13">
        <v>110144</v>
      </c>
      <c r="M673" t="s">
        <v>70</v>
      </c>
      <c r="N673">
        <v>82845322000104</v>
      </c>
    </row>
    <row r="674" spans="1:14" x14ac:dyDescent="0.25">
      <c r="A674" s="12"/>
      <c r="B674" s="2"/>
      <c r="C674" s="3"/>
      <c r="D674" s="4"/>
      <c r="E674" s="16"/>
      <c r="F674" s="2"/>
      <c r="G674" s="5"/>
      <c r="H674" s="6"/>
      <c r="I674" s="7"/>
      <c r="J674" s="10"/>
      <c r="K674" t="str">
        <f t="shared" si="6"/>
        <v>2024NE000710</v>
      </c>
      <c r="L674" s="13">
        <v>110144</v>
      </c>
      <c r="M674" t="s">
        <v>70</v>
      </c>
      <c r="N674">
        <v>82845322000104</v>
      </c>
    </row>
    <row r="675" spans="1:14" x14ac:dyDescent="0.25">
      <c r="A675" s="12"/>
      <c r="B675" s="2"/>
      <c r="C675" s="3"/>
      <c r="D675" s="4"/>
      <c r="E675" s="16"/>
      <c r="F675" s="2"/>
      <c r="G675" s="5"/>
      <c r="H675" s="6"/>
      <c r="I675" s="7"/>
      <c r="J675" s="10"/>
      <c r="K675" t="str">
        <f t="shared" si="6"/>
        <v>2024NE000710</v>
      </c>
      <c r="L675" s="13">
        <v>110144</v>
      </c>
      <c r="M675" t="s">
        <v>70</v>
      </c>
      <c r="N675">
        <v>82845322000104</v>
      </c>
    </row>
    <row r="676" spans="1:14" x14ac:dyDescent="0.25">
      <c r="A676" s="12"/>
      <c r="B676" s="2"/>
      <c r="C676" s="3"/>
      <c r="D676" s="4"/>
      <c r="E676" s="16"/>
      <c r="F676" s="2"/>
      <c r="G676" s="5"/>
      <c r="H676" s="6"/>
      <c r="I676" s="7"/>
      <c r="J676" s="10"/>
      <c r="K676" t="str">
        <f t="shared" si="6"/>
        <v>2024NE000710</v>
      </c>
      <c r="L676" s="13">
        <v>110144</v>
      </c>
      <c r="M676" t="s">
        <v>70</v>
      </c>
      <c r="N676">
        <v>82845322000104</v>
      </c>
    </row>
    <row r="677" spans="1:14" x14ac:dyDescent="0.25">
      <c r="A677" s="12"/>
      <c r="B677" s="2"/>
      <c r="C677" s="3"/>
      <c r="D677" s="4"/>
      <c r="E677" s="16"/>
      <c r="F677" s="2"/>
      <c r="G677" s="5"/>
      <c r="H677" s="6"/>
      <c r="I677" s="7"/>
      <c r="J677" s="10"/>
      <c r="K677" t="str">
        <f t="shared" si="6"/>
        <v>2024NE000710</v>
      </c>
      <c r="L677" s="13">
        <v>110144</v>
      </c>
      <c r="M677" t="s">
        <v>70</v>
      </c>
      <c r="N677">
        <v>82845322000104</v>
      </c>
    </row>
    <row r="678" spans="1:14" x14ac:dyDescent="0.25">
      <c r="A678" s="12"/>
      <c r="B678" s="2"/>
      <c r="C678" s="3"/>
      <c r="D678" s="4"/>
      <c r="E678" s="16"/>
      <c r="F678" s="2"/>
      <c r="G678" s="5"/>
      <c r="H678" s="6"/>
      <c r="I678" s="7"/>
      <c r="J678" s="10"/>
      <c r="K678" t="str">
        <f t="shared" si="6"/>
        <v>2024NE000710</v>
      </c>
      <c r="L678" s="13">
        <v>110144</v>
      </c>
      <c r="M678" t="s">
        <v>70</v>
      </c>
      <c r="N678">
        <v>82845322000104</v>
      </c>
    </row>
    <row r="679" spans="1:14" x14ac:dyDescent="0.25">
      <c r="A679" s="12"/>
      <c r="B679" s="2"/>
      <c r="C679" s="3"/>
      <c r="D679" s="4"/>
      <c r="E679" s="16"/>
      <c r="F679" s="2"/>
      <c r="G679" s="5"/>
      <c r="H679" s="6"/>
      <c r="I679" s="7"/>
      <c r="J679" s="10"/>
      <c r="K679" t="str">
        <f t="shared" si="6"/>
        <v>2024NE000710</v>
      </c>
      <c r="L679" s="13">
        <v>110144</v>
      </c>
      <c r="M679" t="s">
        <v>70</v>
      </c>
      <c r="N679">
        <v>82845322000104</v>
      </c>
    </row>
    <row r="680" spans="1:14" x14ac:dyDescent="0.25">
      <c r="A680" s="12"/>
      <c r="B680" s="2"/>
      <c r="C680" s="3"/>
      <c r="D680" s="4"/>
      <c r="E680" s="16"/>
      <c r="F680" s="2"/>
      <c r="G680" s="5"/>
      <c r="H680" s="6"/>
      <c r="I680" s="7"/>
      <c r="J680" s="10"/>
      <c r="K680" t="str">
        <f t="shared" si="6"/>
        <v>2024NE000710</v>
      </c>
      <c r="L680" s="13">
        <v>110144</v>
      </c>
      <c r="M680" t="s">
        <v>70</v>
      </c>
      <c r="N680">
        <v>82845322000104</v>
      </c>
    </row>
    <row r="681" spans="1:14" x14ac:dyDescent="0.25">
      <c r="A681" s="12"/>
      <c r="B681" s="2"/>
      <c r="C681" s="3"/>
      <c r="D681" s="4"/>
      <c r="E681" s="16"/>
      <c r="F681" s="2"/>
      <c r="G681" s="5"/>
      <c r="H681" s="6"/>
      <c r="I681" s="7"/>
      <c r="J681" s="10"/>
      <c r="K681" t="str">
        <f t="shared" si="6"/>
        <v>2024NE000710</v>
      </c>
      <c r="L681" s="13">
        <v>110144</v>
      </c>
      <c r="M681" t="s">
        <v>70</v>
      </c>
      <c r="N681">
        <v>82845322000104</v>
      </c>
    </row>
    <row r="682" spans="1:14" x14ac:dyDescent="0.25">
      <c r="A682" s="12"/>
      <c r="B682" s="2"/>
      <c r="C682" s="3"/>
      <c r="D682" s="4"/>
      <c r="E682" s="16"/>
      <c r="F682" s="2"/>
      <c r="G682" s="5"/>
      <c r="H682" s="6"/>
      <c r="I682" s="7"/>
      <c r="J682" s="10"/>
      <c r="K682" t="str">
        <f>HYPERLINK("http://www8.mpce.mp.br/Empenhos/150501/NE/2024NE000711.pdf","2024NE000711")</f>
        <v>2024NE000711</v>
      </c>
      <c r="L682" s="13">
        <v>2531.5</v>
      </c>
      <c r="M682" t="s">
        <v>52</v>
      </c>
      <c r="N682">
        <v>7955535000165</v>
      </c>
    </row>
    <row r="683" spans="1:14" x14ac:dyDescent="0.25">
      <c r="A683" s="12"/>
      <c r="B683" s="2"/>
      <c r="C683" s="3"/>
      <c r="D683" s="4"/>
      <c r="E683" s="16"/>
      <c r="F683" s="2"/>
      <c r="G683" s="5"/>
      <c r="H683" s="6"/>
      <c r="I683" s="7"/>
      <c r="J683" s="10"/>
      <c r="K683" t="str">
        <f>HYPERLINK("http://www8.mpce.mp.br/Empenhos/150501/NE/2024NE000712.pdf","2024NE000712")</f>
        <v>2024NE000712</v>
      </c>
      <c r="L683" s="13">
        <v>19378.669999999998</v>
      </c>
      <c r="M683" t="s">
        <v>63</v>
      </c>
      <c r="N683">
        <v>3888247000184</v>
      </c>
    </row>
    <row r="684" spans="1:14" x14ac:dyDescent="0.25">
      <c r="A684" s="12"/>
      <c r="B684" s="2"/>
      <c r="C684" s="3"/>
      <c r="D684" s="4"/>
      <c r="E684" s="16"/>
      <c r="F684" s="2"/>
      <c r="G684" s="5"/>
      <c r="H684" s="6"/>
      <c r="I684" s="7"/>
      <c r="J684" s="10"/>
      <c r="K684" t="str">
        <f>HYPERLINK("http://www8.mpce.mp.br/Empenhos/150501/NE/2024NE000713.pdf","2024NE000713")</f>
        <v>2024NE000713</v>
      </c>
      <c r="L684">
        <v>300</v>
      </c>
      <c r="M684" t="s">
        <v>80</v>
      </c>
      <c r="N684">
        <v>33757000181</v>
      </c>
    </row>
    <row r="685" spans="1:14" x14ac:dyDescent="0.25">
      <c r="A685" s="12"/>
      <c r="B685" s="2"/>
      <c r="C685" s="3"/>
      <c r="D685" s="4"/>
      <c r="E685" s="16"/>
      <c r="F685" s="2"/>
      <c r="G685" s="5"/>
      <c r="H685" s="6"/>
      <c r="I685" s="7"/>
      <c r="J685" s="10"/>
      <c r="K685" t="str">
        <f>HYPERLINK("http://www8.mpce.mp.br/Empenhos/150501/NE/2024NE000714.pdf","2024NE000714")</f>
        <v>2024NE000714</v>
      </c>
      <c r="L685" s="13">
        <v>65600</v>
      </c>
      <c r="M685" t="s">
        <v>69</v>
      </c>
      <c r="N685">
        <v>2593165000140</v>
      </c>
    </row>
    <row r="686" spans="1:14" x14ac:dyDescent="0.25">
      <c r="A686" s="12"/>
      <c r="B686" s="2"/>
      <c r="C686" s="3"/>
      <c r="D686" s="4"/>
      <c r="E686" s="16"/>
      <c r="F686" s="2"/>
      <c r="G686" s="5"/>
      <c r="H686" s="6"/>
      <c r="I686" s="7"/>
      <c r="J686" s="10"/>
      <c r="K686" t="str">
        <f t="shared" ref="K686:K695" si="7">HYPERLINK("http://www8.mpce.mp.br/Empenhos/150501/NE/2024NE000716.pdf","2024NE000716")</f>
        <v>2024NE000716</v>
      </c>
      <c r="L686" s="13">
        <v>104500</v>
      </c>
      <c r="M686" t="s">
        <v>70</v>
      </c>
      <c r="N686">
        <v>82845322000104</v>
      </c>
    </row>
    <row r="687" spans="1:14" x14ac:dyDescent="0.25">
      <c r="A687" s="12"/>
      <c r="B687" s="2"/>
      <c r="C687" s="3"/>
      <c r="D687" s="4"/>
      <c r="E687" s="16"/>
      <c r="F687" s="2"/>
      <c r="G687" s="5"/>
      <c r="H687" s="6"/>
      <c r="I687" s="7"/>
      <c r="J687" s="10"/>
      <c r="K687" t="str">
        <f t="shared" si="7"/>
        <v>2024NE000716</v>
      </c>
      <c r="L687" s="13">
        <v>104500</v>
      </c>
      <c r="M687" t="s">
        <v>70</v>
      </c>
      <c r="N687">
        <v>82845322000104</v>
      </c>
    </row>
    <row r="688" spans="1:14" x14ac:dyDescent="0.25">
      <c r="A688" s="12"/>
      <c r="B688" s="2"/>
      <c r="C688" s="3"/>
      <c r="D688" s="4"/>
      <c r="E688" s="17"/>
      <c r="F688" s="2"/>
      <c r="G688" s="5"/>
      <c r="H688" s="6"/>
      <c r="I688" s="7"/>
      <c r="J688" s="10"/>
      <c r="K688" t="str">
        <f t="shared" si="7"/>
        <v>2024NE000716</v>
      </c>
      <c r="L688" s="13">
        <v>104500</v>
      </c>
      <c r="M688" t="s">
        <v>70</v>
      </c>
      <c r="N688">
        <v>82845322000104</v>
      </c>
    </row>
    <row r="689" spans="1:14" x14ac:dyDescent="0.25">
      <c r="A689" s="12"/>
      <c r="B689" s="2"/>
      <c r="C689" s="3"/>
      <c r="D689" s="4"/>
      <c r="E689" s="16"/>
      <c r="F689" s="2"/>
      <c r="G689" s="5"/>
      <c r="H689" s="6"/>
      <c r="I689" s="7"/>
      <c r="J689" s="10"/>
      <c r="K689" t="str">
        <f t="shared" si="7"/>
        <v>2024NE000716</v>
      </c>
      <c r="L689" s="13">
        <v>104500</v>
      </c>
      <c r="M689" t="s">
        <v>70</v>
      </c>
      <c r="N689">
        <v>82845322000104</v>
      </c>
    </row>
    <row r="690" spans="1:14" x14ac:dyDescent="0.25">
      <c r="A690" s="12"/>
      <c r="B690" s="2"/>
      <c r="C690" s="3"/>
      <c r="D690" s="4"/>
      <c r="E690" s="16"/>
      <c r="F690" s="2"/>
      <c r="G690" s="5"/>
      <c r="H690" s="6"/>
      <c r="I690" s="7"/>
      <c r="J690" s="10"/>
      <c r="K690" t="str">
        <f t="shared" si="7"/>
        <v>2024NE000716</v>
      </c>
      <c r="L690" s="13">
        <v>104500</v>
      </c>
      <c r="M690" t="s">
        <v>70</v>
      </c>
      <c r="N690">
        <v>82845322000104</v>
      </c>
    </row>
    <row r="691" spans="1:14" x14ac:dyDescent="0.25">
      <c r="A691" s="12"/>
      <c r="B691" s="2"/>
      <c r="C691" s="3"/>
      <c r="D691" s="4"/>
      <c r="E691" s="16"/>
      <c r="F691" s="2"/>
      <c r="G691" s="5"/>
      <c r="H691" s="6"/>
      <c r="I691" s="7"/>
      <c r="J691" s="10"/>
      <c r="K691" t="str">
        <f t="shared" si="7"/>
        <v>2024NE000716</v>
      </c>
      <c r="L691" s="13">
        <v>104500</v>
      </c>
      <c r="M691" t="s">
        <v>70</v>
      </c>
      <c r="N691">
        <v>82845322000104</v>
      </c>
    </row>
    <row r="692" spans="1:14" x14ac:dyDescent="0.25">
      <c r="A692" s="12"/>
      <c r="B692" s="2"/>
      <c r="C692" s="3"/>
      <c r="D692" s="4"/>
      <c r="E692" s="16"/>
      <c r="F692" s="2"/>
      <c r="G692" s="5"/>
      <c r="H692" s="6"/>
      <c r="I692" s="7"/>
      <c r="J692" s="10"/>
      <c r="K692" t="str">
        <f t="shared" si="7"/>
        <v>2024NE000716</v>
      </c>
      <c r="L692" s="13">
        <v>104500</v>
      </c>
      <c r="M692" t="s">
        <v>70</v>
      </c>
      <c r="N692">
        <v>82845322000104</v>
      </c>
    </row>
    <row r="693" spans="1:14" x14ac:dyDescent="0.25">
      <c r="A693" s="12"/>
      <c r="B693" s="2"/>
      <c r="C693" s="3"/>
      <c r="D693" s="4"/>
      <c r="E693" s="16"/>
      <c r="F693" s="2"/>
      <c r="G693" s="5"/>
      <c r="H693" s="6"/>
      <c r="I693" s="7"/>
      <c r="J693" s="10"/>
      <c r="K693" t="str">
        <f t="shared" si="7"/>
        <v>2024NE000716</v>
      </c>
      <c r="L693" s="13">
        <v>104500</v>
      </c>
      <c r="M693" t="s">
        <v>70</v>
      </c>
      <c r="N693">
        <v>82845322000104</v>
      </c>
    </row>
    <row r="694" spans="1:14" x14ac:dyDescent="0.25">
      <c r="A694" s="12"/>
      <c r="B694" s="2"/>
      <c r="C694" s="3"/>
      <c r="D694" s="4"/>
      <c r="E694" s="16"/>
      <c r="F694" s="2"/>
      <c r="G694" s="5"/>
      <c r="H694" s="6"/>
      <c r="I694" s="7"/>
      <c r="J694" s="10"/>
      <c r="K694" t="str">
        <f t="shared" si="7"/>
        <v>2024NE000716</v>
      </c>
      <c r="L694" s="13">
        <v>104500</v>
      </c>
      <c r="M694" t="s">
        <v>70</v>
      </c>
      <c r="N694">
        <v>82845322000104</v>
      </c>
    </row>
    <row r="695" spans="1:14" x14ac:dyDescent="0.25">
      <c r="A695" s="12"/>
      <c r="B695" s="2"/>
      <c r="C695" s="3"/>
      <c r="D695" s="4"/>
      <c r="E695" s="16"/>
      <c r="F695" s="2"/>
      <c r="G695" s="5"/>
      <c r="H695" s="6"/>
      <c r="I695" s="7"/>
      <c r="J695" s="10"/>
      <c r="K695" t="str">
        <f t="shared" si="7"/>
        <v>2024NE000716</v>
      </c>
      <c r="L695" s="13">
        <v>104500</v>
      </c>
      <c r="M695" t="s">
        <v>70</v>
      </c>
      <c r="N695">
        <v>82845322000104</v>
      </c>
    </row>
    <row r="696" spans="1:14" x14ac:dyDescent="0.25">
      <c r="A696" s="12"/>
      <c r="B696" s="2"/>
      <c r="C696" s="3"/>
      <c r="D696" s="4"/>
      <c r="E696" s="16"/>
      <c r="F696" s="2"/>
      <c r="G696" s="5"/>
      <c r="H696" s="6"/>
      <c r="I696" s="7"/>
      <c r="J696" s="10"/>
      <c r="K696" t="str">
        <f t="shared" ref="K696:K705" si="8">HYPERLINK("http://www8.mpce.mp.br/Empenhos/150501/NE/2024NE000717.pdf","2024NE000717")</f>
        <v>2024NE000717</v>
      </c>
      <c r="L696" s="13">
        <v>44000</v>
      </c>
      <c r="M696" t="s">
        <v>70</v>
      </c>
      <c r="N696">
        <v>82845322000104</v>
      </c>
    </row>
    <row r="697" spans="1:14" x14ac:dyDescent="0.25">
      <c r="A697" s="12"/>
      <c r="B697" s="2"/>
      <c r="C697" s="3"/>
      <c r="D697" s="4"/>
      <c r="E697" s="16"/>
      <c r="F697" s="2"/>
      <c r="G697" s="5"/>
      <c r="H697" s="6"/>
      <c r="I697" s="7"/>
      <c r="J697" s="10"/>
      <c r="K697" t="str">
        <f t="shared" si="8"/>
        <v>2024NE000717</v>
      </c>
      <c r="L697" s="13">
        <v>44000</v>
      </c>
      <c r="M697" t="s">
        <v>70</v>
      </c>
      <c r="N697">
        <v>82845322000104</v>
      </c>
    </row>
    <row r="698" spans="1:14" x14ac:dyDescent="0.25">
      <c r="A698" s="12"/>
      <c r="B698" s="2"/>
      <c r="C698" s="3"/>
      <c r="D698" s="4"/>
      <c r="E698" s="16"/>
      <c r="F698" s="2"/>
      <c r="G698" s="5"/>
      <c r="H698" s="6"/>
      <c r="I698" s="7"/>
      <c r="J698" s="10"/>
      <c r="K698" t="str">
        <f t="shared" si="8"/>
        <v>2024NE000717</v>
      </c>
      <c r="L698" s="13">
        <v>44000</v>
      </c>
      <c r="M698" t="s">
        <v>70</v>
      </c>
      <c r="N698">
        <v>82845322000104</v>
      </c>
    </row>
    <row r="699" spans="1:14" x14ac:dyDescent="0.25">
      <c r="A699" s="12"/>
      <c r="B699" s="2"/>
      <c r="C699" s="3"/>
      <c r="D699" s="4"/>
      <c r="E699" s="16"/>
      <c r="F699" s="2"/>
      <c r="G699" s="5"/>
      <c r="H699" s="6"/>
      <c r="I699" s="7"/>
      <c r="J699" s="10"/>
      <c r="K699" t="str">
        <f t="shared" si="8"/>
        <v>2024NE000717</v>
      </c>
      <c r="L699" s="13">
        <v>44000</v>
      </c>
      <c r="M699" t="s">
        <v>70</v>
      </c>
      <c r="N699">
        <v>82845322000104</v>
      </c>
    </row>
    <row r="700" spans="1:14" x14ac:dyDescent="0.25">
      <c r="A700" s="12"/>
      <c r="B700" s="2"/>
      <c r="C700" s="3"/>
      <c r="D700" s="4"/>
      <c r="E700" s="16"/>
      <c r="F700" s="2"/>
      <c r="G700" s="5"/>
      <c r="H700" s="6"/>
      <c r="I700" s="7"/>
      <c r="J700" s="10"/>
      <c r="K700" t="str">
        <f t="shared" si="8"/>
        <v>2024NE000717</v>
      </c>
      <c r="L700" s="13">
        <v>44000</v>
      </c>
      <c r="M700" t="s">
        <v>70</v>
      </c>
      <c r="N700">
        <v>82845322000104</v>
      </c>
    </row>
    <row r="701" spans="1:14" x14ac:dyDescent="0.25">
      <c r="A701" s="12"/>
      <c r="B701" s="2"/>
      <c r="C701" s="3"/>
      <c r="D701" s="4"/>
      <c r="E701" s="16"/>
      <c r="F701" s="2"/>
      <c r="G701" s="5"/>
      <c r="H701" s="6"/>
      <c r="I701" s="7"/>
      <c r="J701" s="10"/>
      <c r="K701" t="str">
        <f t="shared" si="8"/>
        <v>2024NE000717</v>
      </c>
      <c r="L701" s="13">
        <v>44000</v>
      </c>
      <c r="M701" t="s">
        <v>70</v>
      </c>
      <c r="N701">
        <v>82845322000104</v>
      </c>
    </row>
    <row r="702" spans="1:14" x14ac:dyDescent="0.25">
      <c r="A702" s="12"/>
      <c r="B702" s="2"/>
      <c r="C702" s="3"/>
      <c r="D702" s="4"/>
      <c r="E702" s="16"/>
      <c r="F702" s="2"/>
      <c r="G702" s="5"/>
      <c r="H702" s="6"/>
      <c r="I702" s="7"/>
      <c r="J702" s="10"/>
      <c r="K702" t="str">
        <f t="shared" si="8"/>
        <v>2024NE000717</v>
      </c>
      <c r="L702" s="13">
        <v>44000</v>
      </c>
      <c r="M702" t="s">
        <v>70</v>
      </c>
      <c r="N702">
        <v>82845322000104</v>
      </c>
    </row>
    <row r="703" spans="1:14" x14ac:dyDescent="0.25">
      <c r="A703" s="12"/>
      <c r="B703" s="2"/>
      <c r="C703" s="3"/>
      <c r="D703" s="4"/>
      <c r="E703" s="16"/>
      <c r="F703" s="2"/>
      <c r="G703" s="5"/>
      <c r="H703" s="6"/>
      <c r="I703" s="7"/>
      <c r="J703" s="10"/>
      <c r="K703" t="str">
        <f t="shared" si="8"/>
        <v>2024NE000717</v>
      </c>
      <c r="L703" s="13">
        <v>44000</v>
      </c>
      <c r="M703" t="s">
        <v>70</v>
      </c>
      <c r="N703">
        <v>82845322000104</v>
      </c>
    </row>
    <row r="704" spans="1:14" x14ac:dyDescent="0.25">
      <c r="A704" s="12"/>
      <c r="B704" s="2"/>
      <c r="C704" s="3"/>
      <c r="D704" s="4"/>
      <c r="E704" s="16"/>
      <c r="F704" s="2"/>
      <c r="G704" s="5"/>
      <c r="H704" s="6"/>
      <c r="I704" s="7"/>
      <c r="J704" s="10"/>
      <c r="K704" t="str">
        <f t="shared" si="8"/>
        <v>2024NE000717</v>
      </c>
      <c r="L704" s="13">
        <v>44000</v>
      </c>
      <c r="M704" t="s">
        <v>70</v>
      </c>
      <c r="N704">
        <v>82845322000104</v>
      </c>
    </row>
    <row r="705" spans="1:14" x14ac:dyDescent="0.25">
      <c r="A705" s="12"/>
      <c r="B705" s="2"/>
      <c r="C705" s="3"/>
      <c r="D705" s="4"/>
      <c r="E705" s="16"/>
      <c r="F705" s="2"/>
      <c r="G705" s="5"/>
      <c r="H705" s="6"/>
      <c r="I705" s="7"/>
      <c r="J705" s="10"/>
      <c r="K705" t="str">
        <f t="shared" si="8"/>
        <v>2024NE000717</v>
      </c>
      <c r="L705" s="13">
        <v>44000</v>
      </c>
      <c r="M705" t="s">
        <v>70</v>
      </c>
      <c r="N705">
        <v>82845322000104</v>
      </c>
    </row>
    <row r="706" spans="1:14" x14ac:dyDescent="0.25">
      <c r="A706" s="12"/>
      <c r="B706" s="2"/>
      <c r="C706" s="3"/>
      <c r="D706" s="4"/>
      <c r="E706" s="16"/>
      <c r="F706" s="2"/>
      <c r="G706" s="5"/>
      <c r="H706" s="6"/>
      <c r="I706" s="7"/>
      <c r="J706" s="10"/>
      <c r="K706" t="str">
        <f>HYPERLINK("http://www8.mpce.mp.br/Empenhos/150501/NE/2024NE000718.pdf","2024NE000718")</f>
        <v>2024NE000718</v>
      </c>
      <c r="L706" s="13">
        <v>1087.81</v>
      </c>
      <c r="M706" t="s">
        <v>93</v>
      </c>
      <c r="N706">
        <v>29417319000107</v>
      </c>
    </row>
    <row r="707" spans="1:14" x14ac:dyDescent="0.25">
      <c r="A707" s="12"/>
      <c r="B707" s="2"/>
      <c r="C707" s="3"/>
      <c r="D707" s="4"/>
      <c r="E707" s="16"/>
      <c r="F707" s="2"/>
      <c r="G707" s="5"/>
      <c r="H707" s="6"/>
      <c r="I707" s="7"/>
      <c r="J707" s="10"/>
      <c r="K707" t="str">
        <f>HYPERLINK("http://www8.mpce.mp.br/Empenhos/150501/NE/2024NE000720.pdf","2024NE000720")</f>
        <v>2024NE000720</v>
      </c>
      <c r="L707" s="13">
        <v>45127.360000000001</v>
      </c>
      <c r="M707" t="s">
        <v>50</v>
      </c>
      <c r="N707">
        <v>3773788000167</v>
      </c>
    </row>
    <row r="708" spans="1:14" x14ac:dyDescent="0.25">
      <c r="A708" s="12"/>
      <c r="B708" s="2"/>
      <c r="C708" s="3"/>
      <c r="D708" s="4"/>
      <c r="E708" s="16"/>
      <c r="F708" s="2"/>
      <c r="G708" s="5"/>
      <c r="H708" s="6"/>
      <c r="I708" s="7"/>
      <c r="J708" s="10"/>
      <c r="K708" t="str">
        <f>HYPERLINK("http://www8.mpce.mp.br/Empenhos/150501/NE/2024NE000722.pdf","2024NE000722")</f>
        <v>2024NE000722</v>
      </c>
      <c r="L708">
        <v>152.32</v>
      </c>
      <c r="M708" t="s">
        <v>29</v>
      </c>
      <c r="N708">
        <v>5569807000163</v>
      </c>
    </row>
    <row r="709" spans="1:14" x14ac:dyDescent="0.25">
      <c r="A709" s="12"/>
      <c r="B709" s="2"/>
      <c r="C709" s="3"/>
      <c r="D709" s="4"/>
      <c r="E709" s="16"/>
      <c r="F709" s="2"/>
      <c r="G709" s="5"/>
      <c r="H709" s="6"/>
      <c r="I709" s="7"/>
      <c r="J709" s="10"/>
      <c r="K709" t="str">
        <f>HYPERLINK("http://www8.mpce.mp.br/Empenhos/150501/NE/2024NE000723.pdf","2024NE000723")</f>
        <v>2024NE000723</v>
      </c>
      <c r="L709" s="13">
        <v>2619.0100000000002</v>
      </c>
      <c r="M709" t="s">
        <v>29</v>
      </c>
      <c r="N709">
        <v>5569807000163</v>
      </c>
    </row>
    <row r="710" spans="1:14" x14ac:dyDescent="0.25">
      <c r="A710" s="12"/>
      <c r="B710" s="2"/>
      <c r="C710" s="3"/>
      <c r="D710" s="4"/>
      <c r="E710" s="16"/>
      <c r="F710" s="2"/>
      <c r="G710" s="5"/>
      <c r="H710" s="6"/>
      <c r="I710" s="7"/>
      <c r="J710" s="10"/>
      <c r="K710" t="str">
        <f>HYPERLINK("http://www8.mpce.mp.br/Empenhos/150501/NE/2024NE000724.pdf","2024NE000724")</f>
        <v>2024NE000724</v>
      </c>
      <c r="L710" s="13">
        <v>2115.4299999999998</v>
      </c>
      <c r="M710" t="s">
        <v>26</v>
      </c>
      <c r="N710">
        <v>41456187000110</v>
      </c>
    </row>
    <row r="711" spans="1:14" x14ac:dyDescent="0.25">
      <c r="A711" s="12"/>
      <c r="B711" s="2"/>
      <c r="C711" s="3"/>
      <c r="D711" s="4"/>
      <c r="E711" s="16"/>
      <c r="F711" s="2"/>
      <c r="G711" s="5"/>
      <c r="H711" s="6"/>
      <c r="I711" s="7"/>
      <c r="J711" s="10"/>
      <c r="K711" t="str">
        <f>HYPERLINK("http://www8.mpce.mp.br/Empenhos/150501/NE/2024NE000727.pdf","2024NE000727")</f>
        <v>2024NE000727</v>
      </c>
      <c r="L711" s="13">
        <v>21689.95</v>
      </c>
      <c r="M711" t="s">
        <v>101</v>
      </c>
      <c r="N711">
        <v>52677115000119</v>
      </c>
    </row>
    <row r="712" spans="1:14" x14ac:dyDescent="0.25">
      <c r="A712" s="12"/>
      <c r="B712" s="2"/>
      <c r="C712" s="3"/>
      <c r="D712" s="4"/>
      <c r="E712" s="16"/>
      <c r="F712" s="2"/>
      <c r="G712" s="5"/>
      <c r="H712" s="6"/>
      <c r="I712" s="7"/>
      <c r="J712" s="10"/>
      <c r="K712" t="str">
        <f>HYPERLINK("http://www8.mpce.mp.br/Empenhos/150501/NE/2024NE000729.pdf","2024NE000729")</f>
        <v>2024NE000729</v>
      </c>
      <c r="L712" s="13">
        <v>31000</v>
      </c>
      <c r="M712" t="s">
        <v>52</v>
      </c>
      <c r="N712">
        <v>7955535000165</v>
      </c>
    </row>
    <row r="713" spans="1:14" x14ac:dyDescent="0.25">
      <c r="A713" s="12"/>
      <c r="B713" s="2"/>
      <c r="C713" s="3"/>
      <c r="D713" s="4"/>
      <c r="E713" s="16"/>
      <c r="F713" s="2"/>
      <c r="G713" s="5"/>
      <c r="H713" s="6"/>
      <c r="I713" s="7"/>
      <c r="J713" s="10"/>
      <c r="K713" t="str">
        <f>HYPERLINK("http://www8.mpce.mp.br/Empenhos/150501/NE/2024NE000731.pdf","2024NE000731")</f>
        <v>2024NE000731</v>
      </c>
      <c r="L713" s="13">
        <v>72584.44</v>
      </c>
      <c r="M713" t="s">
        <v>84</v>
      </c>
      <c r="N713">
        <v>41548652000142</v>
      </c>
    </row>
    <row r="714" spans="1:14" x14ac:dyDescent="0.25">
      <c r="A714" s="12"/>
      <c r="B714" s="2"/>
      <c r="C714" s="3"/>
      <c r="D714" s="4"/>
      <c r="E714" s="16"/>
      <c r="F714" s="2"/>
      <c r="G714" s="5"/>
      <c r="H714" s="6"/>
      <c r="I714" s="7"/>
      <c r="J714" s="10"/>
      <c r="K714" t="str">
        <f>HYPERLINK("http://www8.mpce.mp.br/Empenhos/150501/NE/2024NE000739.pdf","2024NE000739")</f>
        <v>2024NE000739</v>
      </c>
      <c r="L714" s="13">
        <v>123286.67</v>
      </c>
      <c r="M714" t="s">
        <v>50</v>
      </c>
      <c r="N714">
        <v>3773788000167</v>
      </c>
    </row>
    <row r="715" spans="1:14" x14ac:dyDescent="0.25">
      <c r="A715" s="12"/>
      <c r="B715" s="2"/>
      <c r="C715" s="3"/>
      <c r="D715" s="4"/>
      <c r="E715" s="16"/>
      <c r="F715" s="2"/>
      <c r="G715" s="5"/>
      <c r="H715" s="6"/>
      <c r="I715" s="7"/>
      <c r="J715" s="10"/>
      <c r="K715" t="str">
        <f>HYPERLINK("http://www8.mpce.mp.br/Empenhos/150501/NE/2024NE000739.pdf","2024NE000739")</f>
        <v>2024NE000739</v>
      </c>
      <c r="L715" s="13">
        <v>123286.67</v>
      </c>
      <c r="M715" t="s">
        <v>50</v>
      </c>
      <c r="N715">
        <v>3773788000167</v>
      </c>
    </row>
    <row r="716" spans="1:14" x14ac:dyDescent="0.25">
      <c r="A716" s="12"/>
      <c r="B716" s="2"/>
      <c r="C716" s="3"/>
      <c r="D716" s="4"/>
      <c r="E716" s="16"/>
      <c r="F716" s="2"/>
      <c r="G716" s="5"/>
      <c r="H716" s="6"/>
      <c r="I716" s="7"/>
      <c r="J716" s="10"/>
      <c r="K716" t="str">
        <f>HYPERLINK("http://www8.mpce.mp.br/Empenhos/150501/NE/2024NE000739.pdf","2024NE000739")</f>
        <v>2024NE000739</v>
      </c>
      <c r="L716" s="13">
        <v>123286.67</v>
      </c>
      <c r="M716" t="s">
        <v>50</v>
      </c>
      <c r="N716">
        <v>3773788000167</v>
      </c>
    </row>
    <row r="717" spans="1:14" x14ac:dyDescent="0.25">
      <c r="A717" s="12"/>
      <c r="B717" s="2"/>
      <c r="C717" s="3"/>
      <c r="D717" s="4"/>
      <c r="E717" s="16"/>
      <c r="F717" s="2"/>
      <c r="G717" s="5"/>
      <c r="H717" s="6"/>
      <c r="I717" s="7"/>
      <c r="J717" s="10"/>
      <c r="K717" t="str">
        <f>HYPERLINK("http://www8.mpce.mp.br/Empenhos/150501/NE/2024NE000765.pdf","2024NE000765")</f>
        <v>2024NE000765</v>
      </c>
      <c r="L717" s="13">
        <v>5725.06</v>
      </c>
      <c r="M717" t="s">
        <v>27</v>
      </c>
      <c r="N717">
        <v>22705562000173</v>
      </c>
    </row>
    <row r="718" spans="1:14" x14ac:dyDescent="0.25">
      <c r="A718" s="12"/>
      <c r="B718" s="2"/>
      <c r="C718" s="3"/>
      <c r="D718" s="4"/>
      <c r="E718" s="16"/>
      <c r="F718" s="2"/>
      <c r="G718" s="5"/>
      <c r="H718" s="6"/>
      <c r="I718" s="7"/>
      <c r="J718" s="10"/>
      <c r="K718" t="str">
        <f>HYPERLINK("http://www8.mpce.mp.br/Empenhos/150501/NE/2024NE000771.pdf","2024NE000771")</f>
        <v>2024NE000771</v>
      </c>
      <c r="L718" s="13">
        <v>256704</v>
      </c>
      <c r="M718" t="s">
        <v>50</v>
      </c>
      <c r="N718">
        <v>3773788000167</v>
      </c>
    </row>
    <row r="719" spans="1:14" x14ac:dyDescent="0.25">
      <c r="A719" s="12"/>
      <c r="B719" s="2"/>
      <c r="C719" s="3"/>
      <c r="D719" s="4"/>
      <c r="E719" s="16"/>
      <c r="F719" s="2"/>
      <c r="G719" s="5"/>
      <c r="H719" s="6"/>
      <c r="I719" s="7"/>
      <c r="J719" s="10"/>
      <c r="K719" t="str">
        <f>HYPERLINK("http://www8.mpce.mp.br/Empenhos/150501/NE/2024NE000771.pdf","2024NE000771")</f>
        <v>2024NE000771</v>
      </c>
      <c r="L719" s="13">
        <v>256704</v>
      </c>
      <c r="M719" t="s">
        <v>50</v>
      </c>
      <c r="N719">
        <v>3773788000167</v>
      </c>
    </row>
    <row r="720" spans="1:14" x14ac:dyDescent="0.25">
      <c r="A720" s="12"/>
      <c r="B720" s="2"/>
      <c r="C720" s="3"/>
      <c r="D720" s="4"/>
      <c r="E720" s="16"/>
      <c r="F720" s="2"/>
      <c r="G720" s="5"/>
      <c r="H720" s="6"/>
      <c r="I720" s="7"/>
      <c r="J720" s="10"/>
      <c r="K720" t="str">
        <f>HYPERLINK("http://www8.mpce.mp.br/Empenhos/150501/NE/2024NE000771.pdf","2024NE000771")</f>
        <v>2024NE000771</v>
      </c>
      <c r="L720" s="13">
        <v>256704</v>
      </c>
      <c r="M720" t="s">
        <v>50</v>
      </c>
      <c r="N720">
        <v>3773788000167</v>
      </c>
    </row>
    <row r="721" spans="1:14" x14ac:dyDescent="0.25">
      <c r="A721" s="12"/>
      <c r="B721" s="2"/>
      <c r="C721" s="3"/>
      <c r="D721" s="4"/>
      <c r="E721" s="17"/>
      <c r="F721" s="2"/>
      <c r="G721" s="5"/>
      <c r="H721" s="6"/>
      <c r="I721" s="7"/>
      <c r="J721" s="10"/>
      <c r="K721" t="str">
        <f>HYPERLINK("http://www8.mpce.mp.br/Empenhos/150501/NE/2024NE000771.pdf","2024NE000771")</f>
        <v>2024NE000771</v>
      </c>
      <c r="L721" s="13">
        <v>256704</v>
      </c>
      <c r="M721" t="s">
        <v>50</v>
      </c>
      <c r="N721">
        <v>3773788000167</v>
      </c>
    </row>
    <row r="722" spans="1:14" x14ac:dyDescent="0.25">
      <c r="A722" s="12"/>
      <c r="B722" s="2"/>
      <c r="C722" s="3"/>
      <c r="D722" s="4"/>
      <c r="E722" s="16"/>
      <c r="F722" s="2"/>
      <c r="G722" s="5"/>
      <c r="H722" s="6"/>
      <c r="I722" s="7"/>
      <c r="J722" s="10"/>
      <c r="K722" t="str">
        <f>HYPERLINK("http://www8.mpce.mp.br/Empenhos/150501/NE/2024NE000780.pdf","2024NE000780")</f>
        <v>2024NE000780</v>
      </c>
      <c r="L722">
        <v>994.11</v>
      </c>
      <c r="M722" t="s">
        <v>102</v>
      </c>
      <c r="N722">
        <v>61198164000160</v>
      </c>
    </row>
    <row r="723" spans="1:14" x14ac:dyDescent="0.25">
      <c r="A723" s="12"/>
      <c r="B723" s="2"/>
      <c r="C723" s="3"/>
      <c r="D723" s="4"/>
      <c r="E723" s="16"/>
      <c r="F723" s="2"/>
      <c r="G723" s="5"/>
      <c r="H723" s="6"/>
      <c r="I723" s="7"/>
      <c r="J723" s="10"/>
      <c r="K723" t="str">
        <f>HYPERLINK("http://www8.mpce.mp.br/Empenhos/150501/NE/2024NE000792.pdf","2024NE000792")</f>
        <v>2024NE000792</v>
      </c>
      <c r="L723" s="13">
        <v>103000</v>
      </c>
      <c r="M723" t="s">
        <v>55</v>
      </c>
      <c r="N723">
        <v>15664649000184</v>
      </c>
    </row>
    <row r="724" spans="1:14" x14ac:dyDescent="0.25">
      <c r="A724" s="12"/>
      <c r="B724" s="2"/>
      <c r="C724" s="3"/>
      <c r="D724" s="4"/>
      <c r="E724" s="16"/>
      <c r="F724" s="2"/>
      <c r="G724" s="5"/>
      <c r="H724" s="6"/>
      <c r="I724" s="7"/>
      <c r="J724" s="10"/>
      <c r="K724" t="str">
        <f>HYPERLINK("http://www8.mpce.mp.br/Empenhos/150001/NE/2024NE000795.pdf","2024NE000795")</f>
        <v>2024NE000795</v>
      </c>
      <c r="L724" s="13">
        <v>60000</v>
      </c>
      <c r="M724" t="s">
        <v>49</v>
      </c>
      <c r="N724">
        <v>34028316001002</v>
      </c>
    </row>
    <row r="725" spans="1:14" x14ac:dyDescent="0.25">
      <c r="A725" s="12"/>
      <c r="B725" s="2"/>
      <c r="C725" s="3"/>
      <c r="D725" s="4"/>
      <c r="E725" s="16"/>
      <c r="F725" s="2"/>
      <c r="G725" s="5"/>
      <c r="H725" s="6"/>
      <c r="I725" s="7"/>
      <c r="J725" s="10"/>
      <c r="K725" t="str">
        <f>HYPERLINK("http://www8.mpce.mp.br/Empenhos/150501/NE/2024NE000797.pdf","2024NE000797")</f>
        <v>2024NE000797</v>
      </c>
      <c r="L725">
        <v>109.83</v>
      </c>
      <c r="M725" t="s">
        <v>42</v>
      </c>
      <c r="N725">
        <v>22588967000179</v>
      </c>
    </row>
    <row r="726" spans="1:14" x14ac:dyDescent="0.25">
      <c r="A726" s="12"/>
      <c r="B726" s="2"/>
      <c r="C726" s="3"/>
      <c r="D726" s="4"/>
      <c r="E726" s="16"/>
      <c r="F726" s="2"/>
      <c r="G726" s="5"/>
      <c r="H726" s="6"/>
      <c r="I726" s="7"/>
      <c r="J726" s="10"/>
      <c r="K726" t="str">
        <f>HYPERLINK("http://www8.mpce.mp.br/Empenhos/150501/NE/2024NE000798.pdf","2024NE000798")</f>
        <v>2024NE000798</v>
      </c>
      <c r="L726">
        <v>353.34</v>
      </c>
      <c r="M726" t="s">
        <v>42</v>
      </c>
      <c r="N726">
        <v>22588967000179</v>
      </c>
    </row>
    <row r="727" spans="1:14" x14ac:dyDescent="0.25">
      <c r="A727" s="12"/>
      <c r="B727" s="2"/>
      <c r="C727" s="3"/>
      <c r="D727" s="4"/>
      <c r="E727" s="16"/>
      <c r="F727" s="2"/>
      <c r="G727" s="5"/>
      <c r="H727" s="6"/>
      <c r="I727" s="7"/>
      <c r="J727" s="10"/>
      <c r="K727" t="str">
        <f>HYPERLINK("http://www8.mpce.mp.br/Empenhos/150501/NE/2024NE000799.pdf","2024NE000799")</f>
        <v>2024NE000799</v>
      </c>
      <c r="L727" s="13">
        <v>6807.76</v>
      </c>
      <c r="M727" t="s">
        <v>47</v>
      </c>
      <c r="N727">
        <v>10507664000103</v>
      </c>
    </row>
    <row r="728" spans="1:14" x14ac:dyDescent="0.25">
      <c r="A728" s="12"/>
      <c r="B728" s="2"/>
      <c r="C728" s="3"/>
      <c r="D728" s="4"/>
      <c r="E728" s="16"/>
      <c r="F728" s="2"/>
      <c r="G728" s="5"/>
      <c r="H728" s="6"/>
      <c r="I728" s="7"/>
      <c r="J728" s="10"/>
      <c r="K728" t="str">
        <f>HYPERLINK("http://www8.mpce.mp.br/Empenhos/150501/NE/2024NE000800.pdf","2024NE000800")</f>
        <v>2024NE000800</v>
      </c>
      <c r="L728">
        <v>152.32</v>
      </c>
      <c r="M728" t="s">
        <v>29</v>
      </c>
      <c r="N728">
        <v>5569807000163</v>
      </c>
    </row>
    <row r="729" spans="1:14" x14ac:dyDescent="0.25">
      <c r="A729" s="12"/>
      <c r="B729" s="2"/>
      <c r="C729" s="3"/>
      <c r="D729" s="4"/>
      <c r="E729" s="16"/>
      <c r="F729" s="2"/>
      <c r="G729" s="5"/>
      <c r="H729" s="6"/>
      <c r="I729" s="7"/>
      <c r="J729" s="10"/>
      <c r="K729" t="str">
        <f>HYPERLINK("http://www8.mpce.mp.br/Empenhos/150501/NE/2024NE000801.pdf","2024NE000801")</f>
        <v>2024NE000801</v>
      </c>
      <c r="L729">
        <v>152.32</v>
      </c>
      <c r="M729" t="s">
        <v>29</v>
      </c>
      <c r="N729">
        <v>5569807000163</v>
      </c>
    </row>
    <row r="730" spans="1:14" x14ac:dyDescent="0.25">
      <c r="A730" s="12"/>
      <c r="B730" s="2"/>
      <c r="C730" s="3"/>
      <c r="D730" s="4"/>
      <c r="E730" s="16"/>
      <c r="F730" s="2"/>
      <c r="G730" s="5"/>
      <c r="H730" s="6"/>
      <c r="I730" s="7"/>
      <c r="J730" s="10"/>
      <c r="K730" t="str">
        <f>HYPERLINK("http://www8.mpce.mp.br/Empenhos/150501/NE/2024NE000802.pdf","2024NE000802")</f>
        <v>2024NE000802</v>
      </c>
      <c r="L730" s="13">
        <v>2619.0100000000002</v>
      </c>
      <c r="M730" t="s">
        <v>29</v>
      </c>
      <c r="N730">
        <v>5569807000163</v>
      </c>
    </row>
    <row r="731" spans="1:14" x14ac:dyDescent="0.25">
      <c r="A731" s="12"/>
      <c r="B731" s="2"/>
      <c r="C731" s="3"/>
      <c r="D731" s="4"/>
      <c r="E731" s="16"/>
      <c r="F731" s="2"/>
      <c r="G731" s="5"/>
      <c r="H731" s="6"/>
      <c r="I731" s="7"/>
      <c r="J731" s="10"/>
      <c r="K731" t="str">
        <f>HYPERLINK("http://www8.mpce.mp.br/Empenhos/150501/NE/2024NE000803.pdf","2024NE000803")</f>
        <v>2024NE000803</v>
      </c>
      <c r="L731">
        <v>635.9</v>
      </c>
      <c r="M731" t="s">
        <v>83</v>
      </c>
      <c r="N731">
        <v>18904432391</v>
      </c>
    </row>
    <row r="732" spans="1:14" x14ac:dyDescent="0.25">
      <c r="A732" s="12"/>
      <c r="B732" s="2"/>
      <c r="C732" s="3"/>
      <c r="D732" s="4"/>
      <c r="E732" s="16"/>
      <c r="F732" s="2"/>
      <c r="G732" s="5"/>
      <c r="H732" s="6"/>
      <c r="I732" s="7"/>
      <c r="J732" s="10"/>
      <c r="K732" t="str">
        <f>HYPERLINK("http://www8.mpce.mp.br/Empenhos/150501/NE/2024NE000804.pdf","2024NE000804")</f>
        <v>2024NE000804</v>
      </c>
      <c r="L732" s="13">
        <v>9700</v>
      </c>
      <c r="M732" t="s">
        <v>103</v>
      </c>
      <c r="N732">
        <v>32797434000150</v>
      </c>
    </row>
    <row r="733" spans="1:14" x14ac:dyDescent="0.25">
      <c r="A733" s="12"/>
      <c r="B733" s="2"/>
      <c r="C733" s="3"/>
      <c r="D733" s="4"/>
      <c r="E733" s="16"/>
      <c r="F733" s="2"/>
      <c r="G733" s="5"/>
      <c r="H733" s="6"/>
      <c r="I733" s="7"/>
      <c r="J733" s="10"/>
      <c r="K733" t="str">
        <f>HYPERLINK("http://www8.mpce.mp.br/Empenhos/150501/NE/2024NE000805.pdf","2024NE000805")</f>
        <v>2024NE000805</v>
      </c>
      <c r="L733">
        <v>159.05000000000001</v>
      </c>
      <c r="M733" t="s">
        <v>86</v>
      </c>
      <c r="N733">
        <v>15473585000134</v>
      </c>
    </row>
    <row r="734" spans="1:14" x14ac:dyDescent="0.25">
      <c r="A734" s="12"/>
      <c r="B734" s="2"/>
      <c r="C734" s="3"/>
      <c r="D734" s="4"/>
      <c r="E734" s="16"/>
      <c r="F734" s="2"/>
      <c r="G734" s="5"/>
      <c r="H734" s="6"/>
      <c r="I734" s="7"/>
      <c r="J734" s="10"/>
      <c r="K734" t="str">
        <f>HYPERLINK("http://www8.mpce.mp.br/Empenhos/150501/NE/2024NE000838.pdf","2024NE000838")</f>
        <v>2024NE000838</v>
      </c>
      <c r="L734" s="13">
        <v>58910.97</v>
      </c>
      <c r="M734" t="s">
        <v>29</v>
      </c>
      <c r="N734">
        <v>5569807000163</v>
      </c>
    </row>
    <row r="735" spans="1:14" x14ac:dyDescent="0.25">
      <c r="A735" s="12"/>
      <c r="B735" s="2"/>
      <c r="C735" s="3"/>
      <c r="D735" s="4"/>
      <c r="E735" s="16"/>
      <c r="F735" s="2"/>
      <c r="G735" s="5"/>
      <c r="H735" s="6"/>
      <c r="I735" s="7"/>
      <c r="J735" s="10"/>
      <c r="K735" t="str">
        <f>HYPERLINK("http://www8.mpce.mp.br/Empenhos/150001/NE/2024NE000856.pdf","2024NE000856")</f>
        <v>2024NE000856</v>
      </c>
      <c r="L735" s="13">
        <v>2250</v>
      </c>
      <c r="M735" t="s">
        <v>104</v>
      </c>
      <c r="N735">
        <v>1300487000190</v>
      </c>
    </row>
    <row r="736" spans="1:14" x14ac:dyDescent="0.25">
      <c r="A736" s="12"/>
      <c r="B736" s="2"/>
      <c r="C736" s="3"/>
      <c r="D736" s="4"/>
      <c r="E736" s="17"/>
      <c r="F736" s="2"/>
      <c r="G736" s="5"/>
      <c r="H736" s="6"/>
      <c r="I736" s="7"/>
      <c r="J736" s="10"/>
      <c r="K736" t="str">
        <f>HYPERLINK("http://www8.mpce.mp.br/Empenhos/150501/NE/2024NE000875.pdf","2024NE000875")</f>
        <v>2024NE000875</v>
      </c>
      <c r="L736" s="13">
        <v>36672</v>
      </c>
      <c r="M736" t="s">
        <v>50</v>
      </c>
      <c r="N736">
        <v>3773788000167</v>
      </c>
    </row>
    <row r="737" spans="1:14" x14ac:dyDescent="0.25">
      <c r="A737" s="12"/>
      <c r="B737" s="2"/>
      <c r="C737" s="3"/>
      <c r="D737" s="4"/>
      <c r="E737" s="16"/>
      <c r="F737" s="2"/>
      <c r="G737" s="5"/>
      <c r="H737" s="6"/>
      <c r="I737" s="7"/>
      <c r="J737" s="10"/>
      <c r="K737" t="str">
        <f>HYPERLINK("http://www8.mpce.mp.br/Empenhos/150501/NE/2024NE000875.pdf","2024NE000875")</f>
        <v>2024NE000875</v>
      </c>
      <c r="L737" s="13">
        <v>36672</v>
      </c>
      <c r="M737" t="s">
        <v>50</v>
      </c>
      <c r="N737">
        <v>3773788000167</v>
      </c>
    </row>
    <row r="738" spans="1:14" x14ac:dyDescent="0.25">
      <c r="A738" s="12"/>
      <c r="B738" s="2"/>
      <c r="C738" s="3"/>
      <c r="D738" s="4"/>
      <c r="E738" s="16"/>
      <c r="F738" s="2"/>
      <c r="G738" s="5"/>
      <c r="H738" s="6"/>
      <c r="I738" s="7"/>
      <c r="J738" s="10"/>
      <c r="K738" t="str">
        <f>HYPERLINK("http://www8.mpce.mp.br/Empenhos/150501/NE/2024NE000875.pdf","2024NE000875")</f>
        <v>2024NE000875</v>
      </c>
      <c r="L738" s="13">
        <v>36672</v>
      </c>
      <c r="M738" t="s">
        <v>50</v>
      </c>
      <c r="N738">
        <v>3773788000167</v>
      </c>
    </row>
    <row r="739" spans="1:14" x14ac:dyDescent="0.25">
      <c r="A739" s="12"/>
      <c r="B739" s="2"/>
      <c r="C739" s="3"/>
      <c r="D739" s="4"/>
      <c r="E739" s="16"/>
      <c r="F739" s="2"/>
      <c r="G739" s="5"/>
      <c r="H739" s="6"/>
      <c r="I739" s="7"/>
      <c r="J739" s="10"/>
      <c r="K739" t="str">
        <f>HYPERLINK("http://www8.mpce.mp.br/Empenhos/150501/NE/2024NE000875.pdf","2024NE000875")</f>
        <v>2024NE000875</v>
      </c>
      <c r="L739" s="13">
        <v>36672</v>
      </c>
      <c r="M739" t="s">
        <v>50</v>
      </c>
      <c r="N739">
        <v>3773788000167</v>
      </c>
    </row>
    <row r="740" spans="1:14" x14ac:dyDescent="0.25">
      <c r="A740" s="12"/>
      <c r="B740" s="2"/>
      <c r="C740" s="3"/>
      <c r="D740" s="4"/>
      <c r="E740" s="16"/>
      <c r="F740" s="2"/>
      <c r="G740" s="5"/>
      <c r="H740" s="6"/>
      <c r="I740" s="7"/>
      <c r="J740" s="10"/>
      <c r="K740" t="str">
        <f>HYPERLINK("http://www8.mpce.mp.br/Empenhos/150501/NE/2024NE000877.pdf","2024NE000877")</f>
        <v>2024NE000877</v>
      </c>
      <c r="L740" s="13">
        <v>162760</v>
      </c>
      <c r="M740" t="s">
        <v>34</v>
      </c>
      <c r="N740">
        <v>8918421000108</v>
      </c>
    </row>
    <row r="741" spans="1:14" x14ac:dyDescent="0.25">
      <c r="A741" s="12"/>
      <c r="B741" s="2"/>
      <c r="C741" s="3"/>
      <c r="D741" s="4"/>
      <c r="E741" s="16"/>
      <c r="F741" s="2"/>
      <c r="G741" s="5"/>
      <c r="H741" s="6"/>
      <c r="I741" s="7"/>
      <c r="J741" s="10"/>
      <c r="K741" t="str">
        <f>HYPERLINK("http://www8.mpce.mp.br/Empenhos/150501/NE/2024NE000893.pdf","2024NE000893")</f>
        <v>2024NE000893</v>
      </c>
      <c r="L741" s="13">
        <v>122950.65</v>
      </c>
      <c r="M741" t="s">
        <v>50</v>
      </c>
      <c r="N741">
        <v>3773788000167</v>
      </c>
    </row>
    <row r="742" spans="1:14" x14ac:dyDescent="0.25">
      <c r="A742" s="12"/>
      <c r="B742" s="2"/>
      <c r="C742" s="3"/>
      <c r="D742" s="4"/>
      <c r="E742" s="16"/>
      <c r="F742" s="2"/>
      <c r="G742" s="5"/>
      <c r="H742" s="6"/>
      <c r="I742" s="7"/>
      <c r="J742" s="10"/>
      <c r="K742" t="str">
        <f>HYPERLINK("http://www8.mpce.mp.br/Empenhos/150501/NE/2024NE000895.pdf","2024NE000895")</f>
        <v>2024NE000895</v>
      </c>
      <c r="L742" s="13">
        <v>2619.0100000000002</v>
      </c>
      <c r="M742" t="s">
        <v>29</v>
      </c>
      <c r="N742">
        <v>5569807000163</v>
      </c>
    </row>
    <row r="743" spans="1:14" x14ac:dyDescent="0.25">
      <c r="A743" s="12"/>
      <c r="B743" s="2"/>
      <c r="C743" s="3"/>
      <c r="D743" s="4"/>
      <c r="E743" s="16"/>
      <c r="F743" s="2"/>
      <c r="G743" s="5"/>
      <c r="H743" s="6"/>
      <c r="I743" s="7"/>
      <c r="J743" s="10"/>
      <c r="K743" t="str">
        <f>HYPERLINK("http://www8.mpce.mp.br/Empenhos/150501/NE/2024NE000899.pdf","2024NE000899")</f>
        <v>2024NE000899</v>
      </c>
      <c r="L743" s="13">
        <v>35472</v>
      </c>
      <c r="M743" t="s">
        <v>34</v>
      </c>
      <c r="N743">
        <v>8918421000108</v>
      </c>
    </row>
    <row r="744" spans="1:14" x14ac:dyDescent="0.25">
      <c r="A744"/>
      <c r="B744"/>
      <c r="I744"/>
      <c r="J744"/>
      <c r="K744" t="str">
        <f>HYPERLINK("http://www8.mpce.mp.br/Empenhos/150501/NE/2024NE000911.pdf","2024NE000911")</f>
        <v>2024NE000911</v>
      </c>
      <c r="L744" s="13">
        <v>1914.39</v>
      </c>
      <c r="M744" t="s">
        <v>27</v>
      </c>
      <c r="N744">
        <v>22705562000173</v>
      </c>
    </row>
    <row r="745" spans="1:14" x14ac:dyDescent="0.25">
      <c r="A745"/>
      <c r="B745"/>
      <c r="I745"/>
      <c r="J745"/>
      <c r="K745" t="str">
        <f>HYPERLINK("http://www8.mpce.mp.br/Empenhos/150001/NE/2024NE000942.pdf","2024NE000942")</f>
        <v>2024NE000942</v>
      </c>
      <c r="L745" s="13">
        <v>33000</v>
      </c>
      <c r="M745" t="s">
        <v>94</v>
      </c>
      <c r="N745">
        <v>51871404000191</v>
      </c>
    </row>
    <row r="746" spans="1:14" x14ac:dyDescent="0.25">
      <c r="A746"/>
      <c r="B746"/>
      <c r="I746"/>
      <c r="J746"/>
      <c r="K746" t="str">
        <f>HYPERLINK("http://www8.mpce.mp.br/Empenhos/150001/NE/2024NE000947.pdf","2024NE000947")</f>
        <v>2024NE000947</v>
      </c>
      <c r="L746" s="13">
        <v>8270</v>
      </c>
      <c r="M746" t="s">
        <v>105</v>
      </c>
      <c r="N746">
        <v>41789816000123</v>
      </c>
    </row>
    <row r="747" spans="1:14" x14ac:dyDescent="0.25">
      <c r="A747"/>
      <c r="B747"/>
      <c r="I747"/>
      <c r="J747"/>
      <c r="K747" t="str">
        <f>HYPERLINK("http://www8.mpce.mp.br/Empenhos/150501/NE/2024NE000956.pdf","2024NE000956")</f>
        <v>2024NE000956</v>
      </c>
      <c r="L747">
        <v>273.79000000000002</v>
      </c>
      <c r="M747" t="s">
        <v>56</v>
      </c>
      <c r="N747">
        <v>33065699000127</v>
      </c>
    </row>
    <row r="748" spans="1:14" x14ac:dyDescent="0.25">
      <c r="A748"/>
      <c r="B748"/>
      <c r="I748"/>
      <c r="J748"/>
      <c r="K748" t="str">
        <f>HYPERLINK("http://www8.mpce.mp.br/Empenhos/150501/NE/2024NE000958.pdf","2024NE000958")</f>
        <v>2024NE000958</v>
      </c>
      <c r="L748">
        <v>152</v>
      </c>
      <c r="M748" t="s">
        <v>56</v>
      </c>
      <c r="N748">
        <v>33065699000127</v>
      </c>
    </row>
    <row r="749" spans="1:14" x14ac:dyDescent="0.25">
      <c r="A749"/>
      <c r="B749"/>
      <c r="I749"/>
      <c r="J749"/>
      <c r="K749" t="str">
        <f>HYPERLINK("http://www8.mpce.mp.br/Empenhos/150501/NE/2024NE000959.pdf","2024NE000959")</f>
        <v>2024NE000959</v>
      </c>
      <c r="L749" s="13">
        <v>2843.45</v>
      </c>
      <c r="M749" t="s">
        <v>24</v>
      </c>
      <c r="N749">
        <v>7936046000166</v>
      </c>
    </row>
    <row r="750" spans="1:14" x14ac:dyDescent="0.25">
      <c r="A750"/>
      <c r="B750"/>
      <c r="I750"/>
      <c r="J750"/>
      <c r="K750" t="str">
        <f>HYPERLINK("http://www8.mpce.mp.br/Empenhos/150501/NE/2024NE000965.pdf","2024NE000965")</f>
        <v>2024NE000965</v>
      </c>
      <c r="L750" s="13">
        <v>66161.41</v>
      </c>
      <c r="M750" t="s">
        <v>20</v>
      </c>
      <c r="N750">
        <v>11710431000168</v>
      </c>
    </row>
    <row r="751" spans="1:14" x14ac:dyDescent="0.25">
      <c r="A751"/>
      <c r="B751"/>
      <c r="I751"/>
      <c r="J751"/>
      <c r="K751" t="str">
        <f>HYPERLINK("http://www8.mpce.mp.br/Empenhos/150501/NE/2024NE000966.pdf","2024NE000966")</f>
        <v>2024NE000966</v>
      </c>
      <c r="L751" s="13">
        <v>26000.1</v>
      </c>
      <c r="M751" t="s">
        <v>21</v>
      </c>
      <c r="N751">
        <v>44114554000195</v>
      </c>
    </row>
    <row r="752" spans="1:14" x14ac:dyDescent="0.25">
      <c r="A752"/>
      <c r="B752"/>
      <c r="I752"/>
      <c r="J752"/>
      <c r="K752" t="str">
        <f>HYPERLINK("http://www8.mpce.mp.br/Empenhos/150501/NE/2024NE000967.pdf","2024NE000967")</f>
        <v>2024NE000967</v>
      </c>
      <c r="L752" s="13">
        <v>26000</v>
      </c>
      <c r="M752" t="s">
        <v>22</v>
      </c>
      <c r="N752">
        <v>14763826000117</v>
      </c>
    </row>
    <row r="753" spans="1:14" x14ac:dyDescent="0.25">
      <c r="A753"/>
      <c r="B753"/>
      <c r="I753"/>
      <c r="J753"/>
      <c r="K753" t="str">
        <f>HYPERLINK("http://www8.mpce.mp.br/Empenhos/150501/NE/2024NE000968.pdf","2024NE000968")</f>
        <v>2024NE000968</v>
      </c>
      <c r="L753" s="13">
        <v>16434.259999999998</v>
      </c>
      <c r="M753" t="s">
        <v>20</v>
      </c>
      <c r="N753">
        <v>11710431000168</v>
      </c>
    </row>
    <row r="754" spans="1:14" x14ac:dyDescent="0.25">
      <c r="A754"/>
      <c r="B754"/>
      <c r="I754"/>
      <c r="J754"/>
      <c r="K754" t="str">
        <f>HYPERLINK("http://www8.mpce.mp.br/Empenhos/150501/NE/2024NE000971.pdf","2024NE000971")</f>
        <v>2024NE000971</v>
      </c>
      <c r="L754" s="13">
        <v>20900</v>
      </c>
      <c r="M754" t="s">
        <v>23</v>
      </c>
      <c r="N754">
        <v>32697604000125</v>
      </c>
    </row>
    <row r="755" spans="1:14" x14ac:dyDescent="0.25">
      <c r="A755"/>
      <c r="B755"/>
      <c r="I755"/>
      <c r="J755"/>
      <c r="K755" t="str">
        <f>HYPERLINK("http://www8.mpce.mp.br/Empenhos/150501/NE/2024NE000972.pdf","2024NE000972")</f>
        <v>2024NE000972</v>
      </c>
      <c r="L755" s="13">
        <v>18465</v>
      </c>
      <c r="M755" t="s">
        <v>24</v>
      </c>
      <c r="N755">
        <v>7936046000166</v>
      </c>
    </row>
    <row r="756" spans="1:14" x14ac:dyDescent="0.25">
      <c r="A756"/>
      <c r="B756"/>
      <c r="I756"/>
      <c r="J756"/>
      <c r="K756" t="str">
        <f>HYPERLINK("http://www8.mpce.mp.br/Empenhos/150501/NE/2024NE000973.pdf","2024NE000973")</f>
        <v>2024NE000973</v>
      </c>
      <c r="L756" s="13">
        <v>18900</v>
      </c>
      <c r="M756" t="s">
        <v>23</v>
      </c>
      <c r="N756">
        <v>32697604000125</v>
      </c>
    </row>
    <row r="757" spans="1:14" x14ac:dyDescent="0.25">
      <c r="A757"/>
      <c r="B757"/>
      <c r="I757"/>
      <c r="J757"/>
      <c r="K757" t="str">
        <f>HYPERLINK("http://www8.mpce.mp.br/Empenhos/150501/NE/2024NE000974.pdf","2024NE000974")</f>
        <v>2024NE000974</v>
      </c>
      <c r="L757" s="13">
        <v>13486.5</v>
      </c>
      <c r="M757" t="s">
        <v>25</v>
      </c>
      <c r="N757">
        <v>53820857000114</v>
      </c>
    </row>
    <row r="758" spans="1:14" x14ac:dyDescent="0.25">
      <c r="A758"/>
      <c r="B758"/>
      <c r="I758"/>
      <c r="J758"/>
      <c r="K758" t="str">
        <f>HYPERLINK("http://www8.mpce.mp.br/Empenhos/150501/NE/2024NE000975.pdf","2024NE000975")</f>
        <v>2024NE000975</v>
      </c>
      <c r="L758" s="13">
        <v>18000</v>
      </c>
      <c r="M758" t="s">
        <v>26</v>
      </c>
      <c r="N758">
        <v>41456187000110</v>
      </c>
    </row>
    <row r="759" spans="1:14" x14ac:dyDescent="0.25">
      <c r="A759"/>
      <c r="B759"/>
      <c r="I759"/>
      <c r="J759"/>
      <c r="K759" t="str">
        <f>HYPERLINK("http://www8.mpce.mp.br/Empenhos/150501/NE/2024NE000976.pdf","2024NE000976")</f>
        <v>2024NE000976</v>
      </c>
      <c r="L759" s="13">
        <v>33400.11</v>
      </c>
      <c r="M759" t="s">
        <v>21</v>
      </c>
      <c r="N759">
        <v>44114554000195</v>
      </c>
    </row>
    <row r="760" spans="1:14" x14ac:dyDescent="0.25">
      <c r="A760"/>
      <c r="B760"/>
      <c r="I760"/>
      <c r="J760"/>
      <c r="K760" t="str">
        <f>HYPERLINK("http://www8.mpce.mp.br/Empenhos/150001/NE/2024NE000976.pdf","2024NE000976")</f>
        <v>2024NE000976</v>
      </c>
      <c r="L760" s="13">
        <v>3190</v>
      </c>
      <c r="M760" t="s">
        <v>92</v>
      </c>
      <c r="N760">
        <v>10498974000109</v>
      </c>
    </row>
    <row r="761" spans="1:14" x14ac:dyDescent="0.25">
      <c r="A761"/>
      <c r="B761"/>
      <c r="I761"/>
      <c r="J761"/>
      <c r="K761" t="str">
        <f>HYPERLINK("http://www8.mpce.mp.br/Empenhos/150501/NE/2024NE000977.pdf","2024NE000977")</f>
        <v>2024NE000977</v>
      </c>
      <c r="L761" s="13">
        <v>47253.13</v>
      </c>
      <c r="M761" t="s">
        <v>27</v>
      </c>
      <c r="N761">
        <v>22705562000173</v>
      </c>
    </row>
    <row r="762" spans="1:14" x14ac:dyDescent="0.25">
      <c r="A762"/>
      <c r="B762"/>
      <c r="I762"/>
      <c r="J762"/>
      <c r="K762" t="str">
        <f>HYPERLINK("http://www8.mpce.mp.br/Empenhos/150501/NE/2024NE000978.pdf","2024NE000978")</f>
        <v>2024NE000978</v>
      </c>
      <c r="L762" s="13">
        <v>58910.97</v>
      </c>
      <c r="M762" t="s">
        <v>29</v>
      </c>
      <c r="N762">
        <v>5569807000163</v>
      </c>
    </row>
    <row r="763" spans="1:14" x14ac:dyDescent="0.25">
      <c r="A763"/>
      <c r="B763"/>
      <c r="I763"/>
      <c r="J763"/>
      <c r="K763" t="str">
        <f>HYPERLINK("http://www8.mpce.mp.br/Empenhos/150501/NE/2024NE000979.pdf","2024NE000979")</f>
        <v>2024NE000979</v>
      </c>
      <c r="L763" s="13">
        <v>5600</v>
      </c>
      <c r="M763" t="s">
        <v>28</v>
      </c>
      <c r="N763">
        <v>12255352000177</v>
      </c>
    </row>
    <row r="764" spans="1:14" x14ac:dyDescent="0.25">
      <c r="A764"/>
      <c r="B764"/>
      <c r="I764"/>
      <c r="J764"/>
      <c r="K764" t="str">
        <f>HYPERLINK("http://www8.mpce.mp.br/Empenhos/150501/NE/2024NE000980.pdf","2024NE000980")</f>
        <v>2024NE000980</v>
      </c>
      <c r="L764" s="13">
        <v>22143.48</v>
      </c>
      <c r="M764" t="s">
        <v>30</v>
      </c>
      <c r="N764">
        <v>10508750000122</v>
      </c>
    </row>
    <row r="765" spans="1:14" x14ac:dyDescent="0.25">
      <c r="A765"/>
      <c r="B765"/>
      <c r="I765"/>
      <c r="J765"/>
      <c r="K765" t="str">
        <f>HYPERLINK("http://www8.mpce.mp.br/Empenhos/150501/NE/2024NE000981.pdf","2024NE000981")</f>
        <v>2024NE000981</v>
      </c>
      <c r="L765">
        <v>680.03</v>
      </c>
      <c r="M765" t="s">
        <v>91</v>
      </c>
      <c r="N765">
        <v>20941439372</v>
      </c>
    </row>
    <row r="766" spans="1:14" x14ac:dyDescent="0.25">
      <c r="A766"/>
      <c r="B766"/>
      <c r="I766"/>
      <c r="J766"/>
      <c r="K766" t="str">
        <f>HYPERLINK("http://www8.mpce.mp.br/Empenhos/150501/NE/2024NE000982.pdf","2024NE000982")</f>
        <v>2024NE000982</v>
      </c>
      <c r="L766" s="13">
        <v>22000</v>
      </c>
      <c r="M766" t="s">
        <v>30</v>
      </c>
      <c r="N766">
        <v>10508750000122</v>
      </c>
    </row>
    <row r="767" spans="1:14" x14ac:dyDescent="0.25">
      <c r="A767"/>
      <c r="B767"/>
      <c r="I767"/>
      <c r="J767"/>
      <c r="K767" t="str">
        <f>HYPERLINK("http://www8.mpce.mp.br/Empenhos/150501/NE/2024NE000983.pdf","2024NE000983")</f>
        <v>2024NE000983</v>
      </c>
      <c r="L767" s="13">
        <v>13200</v>
      </c>
      <c r="M767" t="s">
        <v>53</v>
      </c>
      <c r="N767">
        <v>44231385000173</v>
      </c>
    </row>
    <row r="768" spans="1:14" x14ac:dyDescent="0.25">
      <c r="A768"/>
      <c r="B768"/>
      <c r="I768"/>
      <c r="J768"/>
      <c r="K768" t="str">
        <f>HYPERLINK("http://www8.mpce.mp.br/Empenhos/150501/NE/2024NE000984.pdf","2024NE000984")</f>
        <v>2024NE000984</v>
      </c>
      <c r="L768" s="13">
        <v>18000</v>
      </c>
      <c r="M768" t="s">
        <v>76</v>
      </c>
      <c r="N768">
        <v>48444032000102</v>
      </c>
    </row>
    <row r="769" spans="1:14" x14ac:dyDescent="0.25">
      <c r="A769"/>
      <c r="B769"/>
      <c r="I769"/>
      <c r="J769"/>
      <c r="K769" t="str">
        <f>HYPERLINK("http://www8.mpce.mp.br/Empenhos/150501/NE/2024NE000985.pdf","2024NE000985")</f>
        <v>2024NE000985</v>
      </c>
      <c r="L769" s="13">
        <v>13612</v>
      </c>
      <c r="M769" t="s">
        <v>23</v>
      </c>
      <c r="N769">
        <v>32697604000125</v>
      </c>
    </row>
    <row r="770" spans="1:14" x14ac:dyDescent="0.25">
      <c r="A770"/>
      <c r="B770"/>
      <c r="I770"/>
      <c r="J770"/>
      <c r="K770" t="str">
        <f>HYPERLINK("http://www8.mpce.mp.br/Empenhos/150501/NE/2024NE000986.pdf","2024NE000986")</f>
        <v>2024NE000986</v>
      </c>
      <c r="L770" s="13">
        <v>14180</v>
      </c>
      <c r="M770" t="s">
        <v>23</v>
      </c>
      <c r="N770">
        <v>32697604000125</v>
      </c>
    </row>
    <row r="771" spans="1:14" x14ac:dyDescent="0.25">
      <c r="A771"/>
      <c r="B771"/>
      <c r="I771"/>
      <c r="J771"/>
      <c r="K771" t="str">
        <f>HYPERLINK("http://www8.mpce.mp.br/Empenhos/150501/NE/2024NE000987.pdf","2024NE000987")</f>
        <v>2024NE000987</v>
      </c>
      <c r="L771" s="13">
        <v>14000</v>
      </c>
      <c r="M771" t="s">
        <v>93</v>
      </c>
      <c r="N771">
        <v>29417319000107</v>
      </c>
    </row>
    <row r="772" spans="1:14" x14ac:dyDescent="0.25">
      <c r="A772"/>
      <c r="B772"/>
      <c r="I772"/>
      <c r="J772"/>
      <c r="K772" t="str">
        <f>HYPERLINK("http://www8.mpce.mp.br/Empenhos/150501/NE/2024NE000988.pdf","2024NE000988")</f>
        <v>2024NE000988</v>
      </c>
      <c r="L772" s="13">
        <v>2188.0100000000002</v>
      </c>
      <c r="M772" t="s">
        <v>88</v>
      </c>
      <c r="N772">
        <v>49090674349</v>
      </c>
    </row>
    <row r="773" spans="1:14" x14ac:dyDescent="0.25">
      <c r="A773"/>
      <c r="B773"/>
      <c r="I773"/>
      <c r="J773"/>
      <c r="K773" t="str">
        <f>HYPERLINK("http://www8.mpce.mp.br/Empenhos/150501/NE/2024NE001002.pdf","2024NE001002")</f>
        <v>2024NE001002</v>
      </c>
      <c r="L773" s="13">
        <v>2935.71</v>
      </c>
      <c r="M773" t="s">
        <v>90</v>
      </c>
      <c r="N773">
        <v>77748638349</v>
      </c>
    </row>
    <row r="774" spans="1:14" x14ac:dyDescent="0.25">
      <c r="A774"/>
      <c r="B774"/>
      <c r="I774"/>
      <c r="J774"/>
      <c r="K774" t="str">
        <f>HYPERLINK("http://www8.mpce.mp.br/Empenhos/150501/NE/2024NE001027.pdf","2024NE001027")</f>
        <v>2024NE001027</v>
      </c>
      <c r="L774" s="13">
        <v>8150.28</v>
      </c>
      <c r="M774" t="s">
        <v>60</v>
      </c>
      <c r="N774">
        <v>2144832315</v>
      </c>
    </row>
    <row r="775" spans="1:14" x14ac:dyDescent="0.25">
      <c r="A775"/>
      <c r="B775"/>
      <c r="I775"/>
      <c r="J775"/>
      <c r="K775" t="str">
        <f>HYPERLINK("http://www8.mpce.mp.br/Empenhos/150501/NE/2024NE001028.pdf","2024NE001028")</f>
        <v>2024NE001028</v>
      </c>
      <c r="L775" s="13">
        <v>4341.5600000000004</v>
      </c>
      <c r="M775" t="s">
        <v>83</v>
      </c>
      <c r="N775">
        <v>18904432391</v>
      </c>
    </row>
    <row r="776" spans="1:14" x14ac:dyDescent="0.25">
      <c r="A776"/>
      <c r="B776"/>
      <c r="I776"/>
      <c r="J776"/>
      <c r="K776" t="str">
        <f>HYPERLINK("http://www8.mpce.mp.br/Empenhos/150501/NE/2024NE001029.pdf","2024NE001029")</f>
        <v>2024NE001029</v>
      </c>
      <c r="L776" s="13">
        <v>1431.35</v>
      </c>
      <c r="M776" t="s">
        <v>86</v>
      </c>
      <c r="N776">
        <v>15473585000134</v>
      </c>
    </row>
    <row r="777" spans="1:14" x14ac:dyDescent="0.25">
      <c r="A777"/>
      <c r="B777"/>
      <c r="I777"/>
      <c r="J777"/>
      <c r="K777" t="str">
        <f>HYPERLINK("http://www8.mpce.mp.br/Empenhos/150501/NE/2024NE001030.pdf","2024NE001030")</f>
        <v>2024NE001030</v>
      </c>
      <c r="L777" s="13">
        <v>2341.9699999999998</v>
      </c>
      <c r="M777" t="s">
        <v>82</v>
      </c>
      <c r="N777">
        <v>46950052391</v>
      </c>
    </row>
    <row r="778" spans="1:14" x14ac:dyDescent="0.25">
      <c r="A778"/>
      <c r="B778"/>
      <c r="I778"/>
      <c r="J778"/>
      <c r="K778" t="str">
        <f>HYPERLINK("http://www8.mpce.mp.br/Empenhos/150501/NE/2024NE001031.pdf","2024NE001031")</f>
        <v>2024NE001031</v>
      </c>
      <c r="L778" s="13">
        <v>5400</v>
      </c>
      <c r="M778" t="s">
        <v>87</v>
      </c>
      <c r="N778">
        <v>33457311000133</v>
      </c>
    </row>
    <row r="779" spans="1:14" x14ac:dyDescent="0.25">
      <c r="A779"/>
      <c r="B779"/>
      <c r="I779"/>
      <c r="J779"/>
      <c r="K779" t="str">
        <f>HYPERLINK("http://www8.mpce.mp.br/Empenhos/150501/NE/2024NE001032.pdf","2024NE001032")</f>
        <v>2024NE001032</v>
      </c>
      <c r="L779" s="13">
        <v>3403.88</v>
      </c>
      <c r="M779" t="s">
        <v>47</v>
      </c>
      <c r="N779">
        <v>10507664000103</v>
      </c>
    </row>
    <row r="780" spans="1:14" x14ac:dyDescent="0.25">
      <c r="A780"/>
      <c r="B780"/>
      <c r="I780"/>
      <c r="J780"/>
      <c r="K780" t="str">
        <f>HYPERLINK("http://www8.mpce.mp.br/Empenhos/150501/NE/2024NE001033.pdf","2024NE001033")</f>
        <v>2024NE001033</v>
      </c>
      <c r="L780" s="13">
        <v>1200</v>
      </c>
      <c r="M780" t="s">
        <v>43</v>
      </c>
      <c r="N780">
        <v>31014895391</v>
      </c>
    </row>
    <row r="781" spans="1:14" x14ac:dyDescent="0.25">
      <c r="A781"/>
      <c r="B781"/>
      <c r="I781"/>
      <c r="J781"/>
      <c r="K781" t="str">
        <f>HYPERLINK("http://www8.mpce.mp.br/Empenhos/150501/NE/2024NE001035.pdf","2024NE001035")</f>
        <v>2024NE001035</v>
      </c>
      <c r="L781">
        <v>152.32</v>
      </c>
      <c r="M781" t="s">
        <v>29</v>
      </c>
      <c r="N781">
        <v>5569807000163</v>
      </c>
    </row>
    <row r="782" spans="1:14" x14ac:dyDescent="0.25">
      <c r="A782"/>
      <c r="B782"/>
      <c r="I782"/>
      <c r="J782"/>
      <c r="K782" t="str">
        <f>HYPERLINK("http://www8.mpce.mp.br/Empenhos/150501/NE/2024NE001036.pdf","2024NE001036")</f>
        <v>2024NE001036</v>
      </c>
      <c r="L782" s="13">
        <v>2619.0100000000002</v>
      </c>
      <c r="M782" t="s">
        <v>29</v>
      </c>
      <c r="N782">
        <v>5569807000163</v>
      </c>
    </row>
    <row r="783" spans="1:14" x14ac:dyDescent="0.25">
      <c r="A783"/>
      <c r="B783"/>
      <c r="I783"/>
      <c r="J783"/>
      <c r="K783" t="str">
        <f>HYPERLINK("http://www8.mpce.mp.br/Empenhos/150501/NE/2024NE001037.pdf","2024NE001037")</f>
        <v>2024NE001037</v>
      </c>
      <c r="L783" s="13">
        <v>3897.24</v>
      </c>
      <c r="M783" t="s">
        <v>48</v>
      </c>
      <c r="N783">
        <v>1728735335</v>
      </c>
    </row>
    <row r="784" spans="1:14" x14ac:dyDescent="0.25">
      <c r="A784"/>
      <c r="B784"/>
      <c r="I784"/>
      <c r="J784"/>
      <c r="K784" t="str">
        <f>HYPERLINK("http://www8.mpce.mp.br/Empenhos/150501/NE/2024NE001039.pdf","2024NE001039")</f>
        <v>2024NE001039</v>
      </c>
      <c r="L784" s="13">
        <v>2000</v>
      </c>
      <c r="M784" t="s">
        <v>46</v>
      </c>
      <c r="N784">
        <v>78214130387</v>
      </c>
    </row>
    <row r="785" spans="1:14" x14ac:dyDescent="0.25">
      <c r="A785"/>
      <c r="B785"/>
      <c r="I785"/>
      <c r="J785"/>
      <c r="K785" t="str">
        <f>HYPERLINK("http://www8.mpce.mp.br/Empenhos/150501/NE/2024NE001043.pdf","2024NE001043")</f>
        <v>2024NE001043</v>
      </c>
      <c r="L785" s="13">
        <v>1500</v>
      </c>
      <c r="M785" t="s">
        <v>31</v>
      </c>
      <c r="N785">
        <v>91495059391</v>
      </c>
    </row>
    <row r="786" spans="1:14" x14ac:dyDescent="0.25">
      <c r="A786"/>
      <c r="B786"/>
      <c r="I786"/>
      <c r="J786"/>
      <c r="K786" t="str">
        <f>HYPERLINK("http://www8.mpce.mp.br/Empenhos/150501/NE/2024NE001044.pdf","2024NE001044")</f>
        <v>2024NE001044</v>
      </c>
      <c r="L786" s="13">
        <v>2000</v>
      </c>
      <c r="M786" t="s">
        <v>33</v>
      </c>
      <c r="N786">
        <v>7021062320</v>
      </c>
    </row>
    <row r="787" spans="1:14" x14ac:dyDescent="0.25">
      <c r="A787"/>
      <c r="B787"/>
      <c r="I787"/>
      <c r="J787"/>
      <c r="K787" t="str">
        <f>HYPERLINK("http://www8.mpce.mp.br/Empenhos/150501/NE/2024NE001045.pdf","2024NE001045")</f>
        <v>2024NE001045</v>
      </c>
      <c r="L787" s="13">
        <v>14907.85</v>
      </c>
      <c r="M787" t="s">
        <v>34</v>
      </c>
      <c r="N787">
        <v>8918421000108</v>
      </c>
    </row>
    <row r="788" spans="1:14" x14ac:dyDescent="0.25">
      <c r="A788"/>
      <c r="B788"/>
      <c r="I788"/>
      <c r="J788"/>
      <c r="K788" t="str">
        <f>HYPERLINK("http://www8.mpce.mp.br/Empenhos/150501/NE/2024NE001046.pdf","2024NE001046")</f>
        <v>2024NE001046</v>
      </c>
      <c r="L788" s="13">
        <v>14907.85</v>
      </c>
      <c r="M788" t="s">
        <v>34</v>
      </c>
      <c r="N788">
        <v>8918421000108</v>
      </c>
    </row>
    <row r="789" spans="1:14" x14ac:dyDescent="0.25">
      <c r="A789"/>
      <c r="B789"/>
      <c r="I789"/>
      <c r="J789"/>
      <c r="K789" t="str">
        <f>HYPERLINK("http://www8.mpce.mp.br/Empenhos/150501/NE/2024NE001047.pdf","2024NE001047")</f>
        <v>2024NE001047</v>
      </c>
      <c r="L789" s="13">
        <v>4000</v>
      </c>
      <c r="M789" t="s">
        <v>41</v>
      </c>
      <c r="N789">
        <v>19678451824</v>
      </c>
    </row>
    <row r="790" spans="1:14" x14ac:dyDescent="0.25">
      <c r="A790"/>
      <c r="B790"/>
      <c r="I790"/>
      <c r="J790"/>
      <c r="K790" t="str">
        <f>HYPERLINK("http://www8.mpce.mp.br/Empenhos/150501/NE/2024NE001048.pdf","2024NE001048")</f>
        <v>2024NE001048</v>
      </c>
      <c r="L790" s="13">
        <v>1306.7</v>
      </c>
      <c r="M790" t="s">
        <v>40</v>
      </c>
      <c r="N790">
        <v>43713017387</v>
      </c>
    </row>
    <row r="791" spans="1:14" x14ac:dyDescent="0.25">
      <c r="A791"/>
      <c r="B791"/>
      <c r="I791"/>
      <c r="J791"/>
      <c r="K791" t="str">
        <f>HYPERLINK("http://www8.mpce.mp.br/Empenhos/150501/NE/2024NE001049.pdf","2024NE001049")</f>
        <v>2024NE001049</v>
      </c>
      <c r="L791" s="13">
        <v>1651.15</v>
      </c>
      <c r="M791" t="s">
        <v>39</v>
      </c>
      <c r="N791">
        <v>50937197300</v>
      </c>
    </row>
    <row r="792" spans="1:14" x14ac:dyDescent="0.25">
      <c r="A792"/>
      <c r="B792"/>
      <c r="I792"/>
      <c r="J792"/>
      <c r="K792" t="str">
        <f>HYPERLINK("http://www8.mpce.mp.br/Empenhos/150501/NE/2024NE001056.pdf","2024NE001056")</f>
        <v>2024NE001056</v>
      </c>
      <c r="L792" s="13">
        <v>1224.8599999999999</v>
      </c>
      <c r="M792" t="s">
        <v>106</v>
      </c>
      <c r="N792">
        <v>66582784000111</v>
      </c>
    </row>
    <row r="793" spans="1:14" x14ac:dyDescent="0.25">
      <c r="A793"/>
      <c r="B793"/>
      <c r="I793"/>
      <c r="J793"/>
      <c r="K793" t="str">
        <f>HYPERLINK("http://www8.mpce.mp.br/Empenhos/150501/NE/2024NE001063.pdf","2024NE001063")</f>
        <v>2024NE001063</v>
      </c>
      <c r="L793" s="13">
        <v>35718.5</v>
      </c>
      <c r="M793" t="s">
        <v>50</v>
      </c>
      <c r="N793">
        <v>3773788000167</v>
      </c>
    </row>
    <row r="794" spans="1:14" x14ac:dyDescent="0.25">
      <c r="A794"/>
      <c r="B794"/>
      <c r="I794"/>
      <c r="J794"/>
      <c r="K794" t="str">
        <f>HYPERLINK("http://www8.mpce.mp.br/Empenhos/150501/NE/2024NE001063.pdf","2024NE001063")</f>
        <v>2024NE001063</v>
      </c>
      <c r="L794" s="13">
        <v>35718.5</v>
      </c>
      <c r="M794" t="s">
        <v>50</v>
      </c>
      <c r="N794">
        <v>3773788000167</v>
      </c>
    </row>
    <row r="795" spans="1:14" x14ac:dyDescent="0.25">
      <c r="A795"/>
      <c r="B795"/>
      <c r="I795"/>
      <c r="J795"/>
      <c r="K795" t="str">
        <f>HYPERLINK("http://www8.mpce.mp.br/Empenhos/150501/NE/2024NE001063.pdf","2024NE001063")</f>
        <v>2024NE001063</v>
      </c>
      <c r="L795" s="13">
        <v>35718.5</v>
      </c>
      <c r="M795" t="s">
        <v>50</v>
      </c>
      <c r="N795">
        <v>3773788000167</v>
      </c>
    </row>
    <row r="796" spans="1:14" x14ac:dyDescent="0.25">
      <c r="A796"/>
      <c r="B796"/>
      <c r="I796"/>
      <c r="J796"/>
      <c r="K796" t="str">
        <f>HYPERLINK("http://www8.mpce.mp.br/Empenhos/150501/NE/2024NE001063.pdf","2024NE001063")</f>
        <v>2024NE001063</v>
      </c>
      <c r="L796" s="13">
        <v>35718.5</v>
      </c>
      <c r="M796" t="s">
        <v>50</v>
      </c>
      <c r="N796">
        <v>3773788000167</v>
      </c>
    </row>
    <row r="797" spans="1:14" x14ac:dyDescent="0.25">
      <c r="A797"/>
      <c r="B797"/>
      <c r="I797"/>
      <c r="J797"/>
      <c r="K797" t="str">
        <f>HYPERLINK("http://www8.mpce.mp.br/Empenhos/150501/NE/2024NE001067.pdf","2024NE001067")</f>
        <v>2024NE001067</v>
      </c>
      <c r="L797" s="13">
        <v>25207.61</v>
      </c>
      <c r="M797" t="s">
        <v>50</v>
      </c>
      <c r="N797">
        <v>3773788000167</v>
      </c>
    </row>
    <row r="798" spans="1:14" x14ac:dyDescent="0.25">
      <c r="A798"/>
      <c r="B798"/>
      <c r="I798"/>
      <c r="J798"/>
      <c r="K798" t="str">
        <f>HYPERLINK("http://www8.mpce.mp.br/Empenhos/150501/NE/2024NE001068.pdf","2024NE001068")</f>
        <v>2024NE001068</v>
      </c>
      <c r="L798" s="13">
        <v>6216.42</v>
      </c>
      <c r="M798" t="s">
        <v>50</v>
      </c>
      <c r="N798">
        <v>3773788000167</v>
      </c>
    </row>
    <row r="799" spans="1:14" x14ac:dyDescent="0.25">
      <c r="A799"/>
      <c r="B799"/>
      <c r="I799"/>
      <c r="J799"/>
      <c r="K799" t="str">
        <f>HYPERLINK("http://www8.mpce.mp.br/Empenhos/150501/NE/2024NE001070.pdf","2024NE001070")</f>
        <v>2024NE001070</v>
      </c>
      <c r="L799" s="13">
        <v>36672</v>
      </c>
      <c r="M799" t="s">
        <v>50</v>
      </c>
      <c r="N799">
        <v>3773788000167</v>
      </c>
    </row>
    <row r="800" spans="1:14" x14ac:dyDescent="0.25">
      <c r="A800"/>
      <c r="B800"/>
      <c r="I800"/>
      <c r="J800"/>
      <c r="K800" t="str">
        <f>HYPERLINK("http://www8.mpce.mp.br/Empenhos/150501/NE/2024NE001070.pdf","2024NE001070")</f>
        <v>2024NE001070</v>
      </c>
      <c r="L800" s="13">
        <v>36672</v>
      </c>
      <c r="M800" t="s">
        <v>50</v>
      </c>
      <c r="N800">
        <v>3773788000167</v>
      </c>
    </row>
    <row r="801" spans="1:14" x14ac:dyDescent="0.25">
      <c r="A801"/>
      <c r="B801"/>
      <c r="I801"/>
      <c r="J801"/>
      <c r="K801" t="str">
        <f>HYPERLINK("http://www8.mpce.mp.br/Empenhos/150501/NE/2024NE001070.pdf","2024NE001070")</f>
        <v>2024NE001070</v>
      </c>
      <c r="L801" s="13">
        <v>36672</v>
      </c>
      <c r="M801" t="s">
        <v>50</v>
      </c>
      <c r="N801">
        <v>3773788000167</v>
      </c>
    </row>
    <row r="802" spans="1:14" x14ac:dyDescent="0.25">
      <c r="A802"/>
      <c r="B802"/>
      <c r="I802"/>
      <c r="J802"/>
      <c r="K802" t="str">
        <f>HYPERLINK("http://www8.mpce.mp.br/Empenhos/150501/NE/2024NE001070.pdf","2024NE001070")</f>
        <v>2024NE001070</v>
      </c>
      <c r="L802" s="13">
        <v>36672</v>
      </c>
      <c r="M802" t="s">
        <v>50</v>
      </c>
      <c r="N802">
        <v>3773788000167</v>
      </c>
    </row>
    <row r="803" spans="1:14" x14ac:dyDescent="0.25">
      <c r="A803"/>
      <c r="B803"/>
      <c r="I803"/>
      <c r="J803"/>
      <c r="K803" t="str">
        <f>HYPERLINK("http://www8.mpce.mp.br/Empenhos/150501/NE/2024NE001071.pdf","2024NE001071")</f>
        <v>2024NE001071</v>
      </c>
      <c r="L803" s="13">
        <v>7594.5</v>
      </c>
      <c r="M803" t="s">
        <v>52</v>
      </c>
      <c r="N803">
        <v>7955535000165</v>
      </c>
    </row>
    <row r="804" spans="1:14" x14ac:dyDescent="0.25">
      <c r="A804"/>
      <c r="B804"/>
      <c r="I804"/>
      <c r="J804"/>
      <c r="K804" t="str">
        <f>HYPERLINK("http://www8.mpce.mp.br/Empenhos/150501/NE/2024NE001074.pdf","2024NE001074")</f>
        <v>2024NE001074</v>
      </c>
      <c r="L804" s="13">
        <v>13486.5</v>
      </c>
      <c r="M804" t="s">
        <v>25</v>
      </c>
      <c r="N804">
        <v>53820857000114</v>
      </c>
    </row>
    <row r="805" spans="1:14" x14ac:dyDescent="0.25">
      <c r="A805"/>
      <c r="B805"/>
      <c r="I805"/>
      <c r="J805"/>
      <c r="K805" t="str">
        <f>HYPERLINK("http://www8.mpce.mp.br/Empenhos/150501/NE/2024NE001075.pdf","2024NE001075")</f>
        <v>2024NE001075</v>
      </c>
      <c r="L805" s="13">
        <v>18465</v>
      </c>
      <c r="M805" t="s">
        <v>24</v>
      </c>
      <c r="N805">
        <v>7936046000166</v>
      </c>
    </row>
    <row r="806" spans="1:14" x14ac:dyDescent="0.25">
      <c r="A806"/>
      <c r="B806"/>
      <c r="I806"/>
      <c r="J806"/>
      <c r="K806" t="str">
        <f>HYPERLINK("http://www8.mpce.mp.br/Empenhos/150501/NE/2024NE001076.pdf","2024NE001076")</f>
        <v>2024NE001076</v>
      </c>
      <c r="L806" s="13">
        <v>18900</v>
      </c>
      <c r="M806" t="s">
        <v>23</v>
      </c>
      <c r="N806">
        <v>32697604000125</v>
      </c>
    </row>
    <row r="807" spans="1:14" x14ac:dyDescent="0.25">
      <c r="A807"/>
      <c r="B807"/>
      <c r="I807"/>
      <c r="J807"/>
      <c r="K807" t="str">
        <f>HYPERLINK("http://www8.mpce.mp.br/Empenhos/150501/NE/2024NE001088.pdf","2024NE001088")</f>
        <v>2024NE001088</v>
      </c>
      <c r="L807" s="13">
        <v>16440</v>
      </c>
      <c r="M807" t="s">
        <v>27</v>
      </c>
      <c r="N807">
        <v>22705562000173</v>
      </c>
    </row>
    <row r="808" spans="1:14" x14ac:dyDescent="0.25">
      <c r="A808"/>
      <c r="B808"/>
      <c r="I808"/>
      <c r="J808"/>
      <c r="K808" t="str">
        <f>HYPERLINK("http://www8.mpce.mp.br/Empenhos/150501/NE/2024NE001092.pdf","2024NE001092")</f>
        <v>2024NE001092</v>
      </c>
      <c r="L808" s="13">
        <v>19378.669999999998</v>
      </c>
      <c r="M808" t="s">
        <v>63</v>
      </c>
      <c r="N808">
        <v>3888247000184</v>
      </c>
    </row>
    <row r="809" spans="1:14" x14ac:dyDescent="0.25">
      <c r="A809"/>
      <c r="B809"/>
      <c r="I809"/>
      <c r="J809"/>
      <c r="K809" t="str">
        <f>HYPERLINK("http://www8.mpce.mp.br/Empenhos/150501/NE/2024NE001093.pdf","2024NE001093")</f>
        <v>2024NE001093</v>
      </c>
      <c r="L809">
        <v>729.9</v>
      </c>
      <c r="M809" t="s">
        <v>42</v>
      </c>
      <c r="N809">
        <v>22588967000179</v>
      </c>
    </row>
    <row r="810" spans="1:14" x14ac:dyDescent="0.25">
      <c r="A810"/>
      <c r="B810"/>
      <c r="I810"/>
      <c r="J810"/>
      <c r="K810" t="str">
        <f>HYPERLINK("http://www8.mpce.mp.br/Empenhos/150501/NE/2024NE001094.pdf","2024NE001094")</f>
        <v>2024NE001094</v>
      </c>
      <c r="L810">
        <v>457.11</v>
      </c>
      <c r="M810" t="s">
        <v>42</v>
      </c>
      <c r="N810">
        <v>22588967000179</v>
      </c>
    </row>
    <row r="811" spans="1:14" x14ac:dyDescent="0.25">
      <c r="A811"/>
      <c r="B811"/>
      <c r="I811"/>
      <c r="J811"/>
      <c r="K811" t="str">
        <f>HYPERLINK("http://www8.mpce.mp.br/Empenhos/150501/NE/2024NE001095.pdf","2024NE001095")</f>
        <v>2024NE001095</v>
      </c>
      <c r="L811" s="13">
        <v>71000</v>
      </c>
      <c r="M811" t="s">
        <v>50</v>
      </c>
      <c r="N811">
        <v>3773788000167</v>
      </c>
    </row>
    <row r="812" spans="1:14" x14ac:dyDescent="0.25">
      <c r="A812"/>
      <c r="B812"/>
      <c r="I812"/>
      <c r="J812"/>
      <c r="K812" t="str">
        <f>HYPERLINK("http://www8.mpce.mp.br/Empenhos/150501/NE/2024NE001095.pdf","2024NE001095")</f>
        <v>2024NE001095</v>
      </c>
      <c r="L812" s="13">
        <v>71000</v>
      </c>
      <c r="M812" t="s">
        <v>50</v>
      </c>
      <c r="N812">
        <v>3773788000167</v>
      </c>
    </row>
    <row r="813" spans="1:14" x14ac:dyDescent="0.25">
      <c r="A813"/>
      <c r="B813"/>
      <c r="I813"/>
      <c r="J813"/>
      <c r="K813" t="str">
        <f>HYPERLINK("http://www8.mpce.mp.br/Empenhos/150501/NE/2024NE001095.pdf","2024NE001095")</f>
        <v>2024NE001095</v>
      </c>
      <c r="L813" s="13">
        <v>71000</v>
      </c>
      <c r="M813" t="s">
        <v>50</v>
      </c>
      <c r="N813">
        <v>3773788000167</v>
      </c>
    </row>
    <row r="814" spans="1:14" x14ac:dyDescent="0.25">
      <c r="A814"/>
      <c r="B814"/>
      <c r="I814"/>
      <c r="J814"/>
      <c r="K814" t="str">
        <f t="shared" ref="K814:K823" si="9">HYPERLINK("http://www8.mpce.mp.br/Empenhos/150501/NE/2024NE001096.pdf","2024NE001096")</f>
        <v>2024NE001096</v>
      </c>
      <c r="L814" s="13">
        <v>104500</v>
      </c>
      <c r="M814" t="s">
        <v>70</v>
      </c>
      <c r="N814">
        <v>82845322000104</v>
      </c>
    </row>
    <row r="815" spans="1:14" x14ac:dyDescent="0.25">
      <c r="A815"/>
      <c r="B815"/>
      <c r="I815"/>
      <c r="J815"/>
      <c r="K815" t="str">
        <f t="shared" si="9"/>
        <v>2024NE001096</v>
      </c>
      <c r="L815" s="13">
        <v>104500</v>
      </c>
      <c r="M815" t="s">
        <v>70</v>
      </c>
      <c r="N815">
        <v>82845322000104</v>
      </c>
    </row>
    <row r="816" spans="1:14" x14ac:dyDescent="0.25">
      <c r="A816"/>
      <c r="B816"/>
      <c r="I816"/>
      <c r="J816"/>
      <c r="K816" t="str">
        <f t="shared" si="9"/>
        <v>2024NE001096</v>
      </c>
      <c r="L816" s="13">
        <v>104500</v>
      </c>
      <c r="M816" t="s">
        <v>70</v>
      </c>
      <c r="N816">
        <v>82845322000104</v>
      </c>
    </row>
    <row r="817" spans="1:14" x14ac:dyDescent="0.25">
      <c r="A817"/>
      <c r="B817"/>
      <c r="I817"/>
      <c r="J817"/>
      <c r="K817" t="str">
        <f t="shared" si="9"/>
        <v>2024NE001096</v>
      </c>
      <c r="L817" s="13">
        <v>104500</v>
      </c>
      <c r="M817" t="s">
        <v>70</v>
      </c>
      <c r="N817">
        <v>82845322000104</v>
      </c>
    </row>
    <row r="818" spans="1:14" x14ac:dyDescent="0.25">
      <c r="A818"/>
      <c r="B818"/>
      <c r="I818"/>
      <c r="J818"/>
      <c r="K818" t="str">
        <f t="shared" si="9"/>
        <v>2024NE001096</v>
      </c>
      <c r="L818" s="13">
        <v>104500</v>
      </c>
      <c r="M818" t="s">
        <v>70</v>
      </c>
      <c r="N818">
        <v>82845322000104</v>
      </c>
    </row>
    <row r="819" spans="1:14" x14ac:dyDescent="0.25">
      <c r="A819"/>
      <c r="B819"/>
      <c r="I819"/>
      <c r="J819"/>
      <c r="K819" t="str">
        <f t="shared" si="9"/>
        <v>2024NE001096</v>
      </c>
      <c r="L819" s="13">
        <v>104500</v>
      </c>
      <c r="M819" t="s">
        <v>70</v>
      </c>
      <c r="N819">
        <v>82845322000104</v>
      </c>
    </row>
    <row r="820" spans="1:14" x14ac:dyDescent="0.25">
      <c r="A820"/>
      <c r="B820"/>
      <c r="I820"/>
      <c r="J820"/>
      <c r="K820" t="str">
        <f t="shared" si="9"/>
        <v>2024NE001096</v>
      </c>
      <c r="L820" s="13">
        <v>104500</v>
      </c>
      <c r="M820" t="s">
        <v>70</v>
      </c>
      <c r="N820">
        <v>82845322000104</v>
      </c>
    </row>
    <row r="821" spans="1:14" x14ac:dyDescent="0.25">
      <c r="A821"/>
      <c r="B821"/>
      <c r="I821"/>
      <c r="J821"/>
      <c r="K821" t="str">
        <f t="shared" si="9"/>
        <v>2024NE001096</v>
      </c>
      <c r="L821" s="13">
        <v>104500</v>
      </c>
      <c r="M821" t="s">
        <v>70</v>
      </c>
      <c r="N821">
        <v>82845322000104</v>
      </c>
    </row>
    <row r="822" spans="1:14" x14ac:dyDescent="0.25">
      <c r="A822"/>
      <c r="B822"/>
      <c r="I822"/>
      <c r="J822"/>
      <c r="K822" t="str">
        <f t="shared" si="9"/>
        <v>2024NE001096</v>
      </c>
      <c r="L822" s="13">
        <v>104500</v>
      </c>
      <c r="M822" t="s">
        <v>70</v>
      </c>
      <c r="N822">
        <v>82845322000104</v>
      </c>
    </row>
    <row r="823" spans="1:14" x14ac:dyDescent="0.25">
      <c r="A823"/>
      <c r="B823"/>
      <c r="I823"/>
      <c r="J823"/>
      <c r="K823" t="str">
        <f t="shared" si="9"/>
        <v>2024NE001096</v>
      </c>
      <c r="L823" s="13">
        <v>104500</v>
      </c>
      <c r="M823" t="s">
        <v>70</v>
      </c>
      <c r="N823">
        <v>82845322000104</v>
      </c>
    </row>
    <row r="824" spans="1:14" x14ac:dyDescent="0.25">
      <c r="A824"/>
      <c r="B824"/>
      <c r="I824"/>
      <c r="J824"/>
      <c r="K824" t="str">
        <f t="shared" ref="K824:K833" si="10">HYPERLINK("http://www8.mpce.mp.br/Empenhos/150501/NE/2024NE001097.pdf","2024NE001097")</f>
        <v>2024NE001097</v>
      </c>
      <c r="L824" s="13">
        <v>13896.9</v>
      </c>
      <c r="M824" t="s">
        <v>70</v>
      </c>
      <c r="N824">
        <v>82845322000104</v>
      </c>
    </row>
    <row r="825" spans="1:14" x14ac:dyDescent="0.25">
      <c r="A825"/>
      <c r="B825"/>
      <c r="I825"/>
      <c r="J825"/>
      <c r="K825" t="str">
        <f t="shared" si="10"/>
        <v>2024NE001097</v>
      </c>
      <c r="L825" s="13">
        <v>13896.9</v>
      </c>
      <c r="M825" t="s">
        <v>70</v>
      </c>
      <c r="N825">
        <v>82845322000104</v>
      </c>
    </row>
    <row r="826" spans="1:14" x14ac:dyDescent="0.25">
      <c r="A826"/>
      <c r="B826"/>
      <c r="I826"/>
      <c r="J826"/>
      <c r="K826" t="str">
        <f t="shared" si="10"/>
        <v>2024NE001097</v>
      </c>
      <c r="L826" s="13">
        <v>13896.9</v>
      </c>
      <c r="M826" t="s">
        <v>70</v>
      </c>
      <c r="N826">
        <v>82845322000104</v>
      </c>
    </row>
    <row r="827" spans="1:14" x14ac:dyDescent="0.25">
      <c r="A827"/>
      <c r="B827"/>
      <c r="I827"/>
      <c r="J827"/>
      <c r="K827" t="str">
        <f t="shared" si="10"/>
        <v>2024NE001097</v>
      </c>
      <c r="L827" s="13">
        <v>13896.9</v>
      </c>
      <c r="M827" t="s">
        <v>70</v>
      </c>
      <c r="N827">
        <v>82845322000104</v>
      </c>
    </row>
    <row r="828" spans="1:14" x14ac:dyDescent="0.25">
      <c r="A828"/>
      <c r="B828"/>
      <c r="I828"/>
      <c r="J828"/>
      <c r="K828" t="str">
        <f t="shared" si="10"/>
        <v>2024NE001097</v>
      </c>
      <c r="L828" s="13">
        <v>13896.9</v>
      </c>
      <c r="M828" t="s">
        <v>70</v>
      </c>
      <c r="N828">
        <v>82845322000104</v>
      </c>
    </row>
    <row r="829" spans="1:14" x14ac:dyDescent="0.25">
      <c r="A829"/>
      <c r="B829"/>
      <c r="I829"/>
      <c r="J829"/>
      <c r="K829" t="str">
        <f t="shared" si="10"/>
        <v>2024NE001097</v>
      </c>
      <c r="L829" s="13">
        <v>13896.9</v>
      </c>
      <c r="M829" t="s">
        <v>70</v>
      </c>
      <c r="N829">
        <v>82845322000104</v>
      </c>
    </row>
    <row r="830" spans="1:14" x14ac:dyDescent="0.25">
      <c r="A830"/>
      <c r="B830"/>
      <c r="I830"/>
      <c r="J830"/>
      <c r="K830" t="str">
        <f t="shared" si="10"/>
        <v>2024NE001097</v>
      </c>
      <c r="L830" s="13">
        <v>13896.9</v>
      </c>
      <c r="M830" t="s">
        <v>70</v>
      </c>
      <c r="N830">
        <v>82845322000104</v>
      </c>
    </row>
    <row r="831" spans="1:14" x14ac:dyDescent="0.25">
      <c r="A831"/>
      <c r="B831"/>
      <c r="I831"/>
      <c r="J831"/>
      <c r="K831" t="str">
        <f t="shared" si="10"/>
        <v>2024NE001097</v>
      </c>
      <c r="L831" s="13">
        <v>13896.9</v>
      </c>
      <c r="M831" t="s">
        <v>70</v>
      </c>
      <c r="N831">
        <v>82845322000104</v>
      </c>
    </row>
    <row r="832" spans="1:14" x14ac:dyDescent="0.25">
      <c r="A832"/>
      <c r="B832"/>
      <c r="I832"/>
      <c r="J832"/>
      <c r="K832" t="str">
        <f t="shared" si="10"/>
        <v>2024NE001097</v>
      </c>
      <c r="L832" s="13">
        <v>13896.9</v>
      </c>
      <c r="M832" t="s">
        <v>70</v>
      </c>
      <c r="N832">
        <v>82845322000104</v>
      </c>
    </row>
    <row r="833" spans="1:14" x14ac:dyDescent="0.25">
      <c r="A833"/>
      <c r="B833"/>
      <c r="I833"/>
      <c r="J833"/>
      <c r="K833" t="str">
        <f t="shared" si="10"/>
        <v>2024NE001097</v>
      </c>
      <c r="L833" s="13">
        <v>13896.9</v>
      </c>
      <c r="M833" t="s">
        <v>70</v>
      </c>
      <c r="N833">
        <v>82845322000104</v>
      </c>
    </row>
    <row r="834" spans="1:14" x14ac:dyDescent="0.25">
      <c r="A834"/>
      <c r="B834"/>
      <c r="I834"/>
      <c r="J834"/>
      <c r="K834" t="str">
        <f t="shared" ref="K834:K843" si="11">HYPERLINK("http://www8.mpce.mp.br/Empenhos/150501/NE/2024NE001098.pdf","2024NE001098")</f>
        <v>2024NE001098</v>
      </c>
      <c r="L834" s="13">
        <v>109229.6</v>
      </c>
      <c r="M834" t="s">
        <v>70</v>
      </c>
      <c r="N834">
        <v>82845322000104</v>
      </c>
    </row>
    <row r="835" spans="1:14" x14ac:dyDescent="0.25">
      <c r="A835"/>
      <c r="B835"/>
      <c r="I835"/>
      <c r="J835"/>
      <c r="K835" t="str">
        <f t="shared" si="11"/>
        <v>2024NE001098</v>
      </c>
      <c r="L835" s="13">
        <v>109229.6</v>
      </c>
      <c r="M835" t="s">
        <v>70</v>
      </c>
      <c r="N835">
        <v>82845322000104</v>
      </c>
    </row>
    <row r="836" spans="1:14" x14ac:dyDescent="0.25">
      <c r="A836"/>
      <c r="B836"/>
      <c r="I836"/>
      <c r="J836"/>
      <c r="K836" t="str">
        <f t="shared" si="11"/>
        <v>2024NE001098</v>
      </c>
      <c r="L836" s="13">
        <v>109229.6</v>
      </c>
      <c r="M836" t="s">
        <v>70</v>
      </c>
      <c r="N836">
        <v>82845322000104</v>
      </c>
    </row>
    <row r="837" spans="1:14" x14ac:dyDescent="0.25">
      <c r="A837"/>
      <c r="B837"/>
      <c r="I837"/>
      <c r="J837"/>
      <c r="K837" t="str">
        <f t="shared" si="11"/>
        <v>2024NE001098</v>
      </c>
      <c r="L837" s="13">
        <v>109229.6</v>
      </c>
      <c r="M837" t="s">
        <v>70</v>
      </c>
      <c r="N837">
        <v>82845322000104</v>
      </c>
    </row>
    <row r="838" spans="1:14" x14ac:dyDescent="0.25">
      <c r="A838"/>
      <c r="B838"/>
      <c r="I838"/>
      <c r="J838"/>
      <c r="K838" t="str">
        <f t="shared" si="11"/>
        <v>2024NE001098</v>
      </c>
      <c r="L838" s="13">
        <v>109229.6</v>
      </c>
      <c r="M838" t="s">
        <v>70</v>
      </c>
      <c r="N838">
        <v>82845322000104</v>
      </c>
    </row>
    <row r="839" spans="1:14" x14ac:dyDescent="0.25">
      <c r="A839"/>
      <c r="B839"/>
      <c r="I839"/>
      <c r="J839"/>
      <c r="K839" t="str">
        <f t="shared" si="11"/>
        <v>2024NE001098</v>
      </c>
      <c r="L839" s="13">
        <v>109229.6</v>
      </c>
      <c r="M839" t="s">
        <v>70</v>
      </c>
      <c r="N839">
        <v>82845322000104</v>
      </c>
    </row>
    <row r="840" spans="1:14" x14ac:dyDescent="0.25">
      <c r="A840"/>
      <c r="B840"/>
      <c r="I840"/>
      <c r="J840"/>
      <c r="K840" t="str">
        <f t="shared" si="11"/>
        <v>2024NE001098</v>
      </c>
      <c r="L840" s="13">
        <v>109229.6</v>
      </c>
      <c r="M840" t="s">
        <v>70</v>
      </c>
      <c r="N840">
        <v>82845322000104</v>
      </c>
    </row>
    <row r="841" spans="1:14" x14ac:dyDescent="0.25">
      <c r="A841"/>
      <c r="B841"/>
      <c r="I841"/>
      <c r="J841"/>
      <c r="K841" t="str">
        <f t="shared" si="11"/>
        <v>2024NE001098</v>
      </c>
      <c r="L841" s="13">
        <v>109229.6</v>
      </c>
      <c r="M841" t="s">
        <v>70</v>
      </c>
      <c r="N841">
        <v>82845322000104</v>
      </c>
    </row>
    <row r="842" spans="1:14" x14ac:dyDescent="0.25">
      <c r="A842"/>
      <c r="B842"/>
      <c r="I842"/>
      <c r="J842"/>
      <c r="K842" t="str">
        <f t="shared" si="11"/>
        <v>2024NE001098</v>
      </c>
      <c r="L842" s="13">
        <v>109229.6</v>
      </c>
      <c r="M842" t="s">
        <v>70</v>
      </c>
      <c r="N842">
        <v>82845322000104</v>
      </c>
    </row>
    <row r="843" spans="1:14" x14ac:dyDescent="0.25">
      <c r="A843"/>
      <c r="B843"/>
      <c r="I843"/>
      <c r="J843"/>
      <c r="K843" t="str">
        <f t="shared" si="11"/>
        <v>2024NE001098</v>
      </c>
      <c r="L843" s="13">
        <v>109229.6</v>
      </c>
      <c r="M843" t="s">
        <v>70</v>
      </c>
      <c r="N843">
        <v>82845322000104</v>
      </c>
    </row>
    <row r="844" spans="1:14" x14ac:dyDescent="0.25">
      <c r="A844"/>
      <c r="B844"/>
      <c r="I844"/>
      <c r="J844"/>
      <c r="K844" t="str">
        <f t="shared" ref="K844:K853" si="12">HYPERLINK("http://www8.mpce.mp.br/Empenhos/150501/NE/2024NE001099.pdf","2024NE001099")</f>
        <v>2024NE001099</v>
      </c>
      <c r="L844" s="13">
        <v>82608</v>
      </c>
      <c r="M844" t="s">
        <v>70</v>
      </c>
      <c r="N844">
        <v>82845322000104</v>
      </c>
    </row>
    <row r="845" spans="1:14" x14ac:dyDescent="0.25">
      <c r="A845"/>
      <c r="B845"/>
      <c r="I845"/>
      <c r="J845"/>
      <c r="K845" t="str">
        <f t="shared" si="12"/>
        <v>2024NE001099</v>
      </c>
      <c r="L845" s="13">
        <v>82608</v>
      </c>
      <c r="M845" t="s">
        <v>70</v>
      </c>
      <c r="N845">
        <v>82845322000104</v>
      </c>
    </row>
    <row r="846" spans="1:14" x14ac:dyDescent="0.25">
      <c r="A846"/>
      <c r="B846"/>
      <c r="I846"/>
      <c r="J846"/>
      <c r="K846" t="str">
        <f t="shared" si="12"/>
        <v>2024NE001099</v>
      </c>
      <c r="L846" s="13">
        <v>82608</v>
      </c>
      <c r="M846" t="s">
        <v>70</v>
      </c>
      <c r="N846">
        <v>82845322000104</v>
      </c>
    </row>
    <row r="847" spans="1:14" x14ac:dyDescent="0.25">
      <c r="A847"/>
      <c r="B847"/>
      <c r="I847"/>
      <c r="J847"/>
      <c r="K847" t="str">
        <f t="shared" si="12"/>
        <v>2024NE001099</v>
      </c>
      <c r="L847" s="13">
        <v>82608</v>
      </c>
      <c r="M847" t="s">
        <v>70</v>
      </c>
      <c r="N847">
        <v>82845322000104</v>
      </c>
    </row>
    <row r="848" spans="1:14" x14ac:dyDescent="0.25">
      <c r="A848"/>
      <c r="B848"/>
      <c r="I848"/>
      <c r="J848"/>
      <c r="K848" t="str">
        <f t="shared" si="12"/>
        <v>2024NE001099</v>
      </c>
      <c r="L848" s="13">
        <v>82608</v>
      </c>
      <c r="M848" t="s">
        <v>70</v>
      </c>
      <c r="N848">
        <v>82845322000104</v>
      </c>
    </row>
    <row r="849" spans="1:14" x14ac:dyDescent="0.25">
      <c r="A849"/>
      <c r="B849"/>
      <c r="I849"/>
      <c r="J849"/>
      <c r="K849" t="str">
        <f t="shared" si="12"/>
        <v>2024NE001099</v>
      </c>
      <c r="L849" s="13">
        <v>82608</v>
      </c>
      <c r="M849" t="s">
        <v>70</v>
      </c>
      <c r="N849">
        <v>82845322000104</v>
      </c>
    </row>
    <row r="850" spans="1:14" x14ac:dyDescent="0.25">
      <c r="A850"/>
      <c r="B850"/>
      <c r="I850"/>
      <c r="J850"/>
      <c r="K850" t="str">
        <f t="shared" si="12"/>
        <v>2024NE001099</v>
      </c>
      <c r="L850" s="13">
        <v>82608</v>
      </c>
      <c r="M850" t="s">
        <v>70</v>
      </c>
      <c r="N850">
        <v>82845322000104</v>
      </c>
    </row>
    <row r="851" spans="1:14" x14ac:dyDescent="0.25">
      <c r="A851"/>
      <c r="B851"/>
      <c r="I851"/>
      <c r="J851"/>
      <c r="K851" t="str">
        <f t="shared" si="12"/>
        <v>2024NE001099</v>
      </c>
      <c r="L851" s="13">
        <v>82608</v>
      </c>
      <c r="M851" t="s">
        <v>70</v>
      </c>
      <c r="N851">
        <v>82845322000104</v>
      </c>
    </row>
    <row r="852" spans="1:14" x14ac:dyDescent="0.25">
      <c r="A852"/>
      <c r="B852"/>
      <c r="I852"/>
      <c r="J852"/>
      <c r="K852" t="str">
        <f t="shared" si="12"/>
        <v>2024NE001099</v>
      </c>
      <c r="L852" s="13">
        <v>82608</v>
      </c>
      <c r="M852" t="s">
        <v>70</v>
      </c>
      <c r="N852">
        <v>82845322000104</v>
      </c>
    </row>
    <row r="853" spans="1:14" x14ac:dyDescent="0.25">
      <c r="A853"/>
      <c r="B853"/>
      <c r="I853"/>
      <c r="J853"/>
      <c r="K853" t="str">
        <f t="shared" si="12"/>
        <v>2024NE001099</v>
      </c>
      <c r="L853" s="13">
        <v>82608</v>
      </c>
      <c r="M853" t="s">
        <v>70</v>
      </c>
      <c r="N853">
        <v>82845322000104</v>
      </c>
    </row>
    <row r="854" spans="1:14" x14ac:dyDescent="0.25">
      <c r="A854"/>
      <c r="B854"/>
      <c r="I854"/>
      <c r="J854"/>
      <c r="K854" t="str">
        <f t="shared" ref="K854:K863" si="13">HYPERLINK("http://www8.mpce.mp.br/Empenhos/150501/NE/2024NE001100.pdf","2024NE001100")</f>
        <v>2024NE001100</v>
      </c>
      <c r="L854" s="13">
        <v>72857</v>
      </c>
      <c r="M854" t="s">
        <v>70</v>
      </c>
      <c r="N854">
        <v>82845322000104</v>
      </c>
    </row>
    <row r="855" spans="1:14" x14ac:dyDescent="0.25">
      <c r="A855"/>
      <c r="B855"/>
      <c r="I855"/>
      <c r="J855"/>
      <c r="K855" t="str">
        <f t="shared" si="13"/>
        <v>2024NE001100</v>
      </c>
      <c r="L855" s="13">
        <v>72857</v>
      </c>
      <c r="M855" t="s">
        <v>70</v>
      </c>
      <c r="N855">
        <v>82845322000104</v>
      </c>
    </row>
    <row r="856" spans="1:14" x14ac:dyDescent="0.25">
      <c r="A856"/>
      <c r="B856"/>
      <c r="I856"/>
      <c r="J856"/>
      <c r="K856" t="str">
        <f t="shared" si="13"/>
        <v>2024NE001100</v>
      </c>
      <c r="L856" s="13">
        <v>72857</v>
      </c>
      <c r="M856" t="s">
        <v>70</v>
      </c>
      <c r="N856">
        <v>82845322000104</v>
      </c>
    </row>
    <row r="857" spans="1:14" x14ac:dyDescent="0.25">
      <c r="A857"/>
      <c r="B857"/>
      <c r="I857"/>
      <c r="J857"/>
      <c r="K857" t="str">
        <f t="shared" si="13"/>
        <v>2024NE001100</v>
      </c>
      <c r="L857" s="13">
        <v>72857</v>
      </c>
      <c r="M857" t="s">
        <v>70</v>
      </c>
      <c r="N857">
        <v>82845322000104</v>
      </c>
    </row>
    <row r="858" spans="1:14" x14ac:dyDescent="0.25">
      <c r="A858"/>
      <c r="B858"/>
      <c r="I858"/>
      <c r="J858"/>
      <c r="K858" t="str">
        <f t="shared" si="13"/>
        <v>2024NE001100</v>
      </c>
      <c r="L858" s="13">
        <v>72857</v>
      </c>
      <c r="M858" t="s">
        <v>70</v>
      </c>
      <c r="N858">
        <v>82845322000104</v>
      </c>
    </row>
    <row r="859" spans="1:14" x14ac:dyDescent="0.25">
      <c r="A859"/>
      <c r="B859"/>
      <c r="I859"/>
      <c r="J859"/>
      <c r="K859" t="str">
        <f t="shared" si="13"/>
        <v>2024NE001100</v>
      </c>
      <c r="L859" s="13">
        <v>72857</v>
      </c>
      <c r="M859" t="s">
        <v>70</v>
      </c>
      <c r="N859">
        <v>82845322000104</v>
      </c>
    </row>
    <row r="860" spans="1:14" x14ac:dyDescent="0.25">
      <c r="A860"/>
      <c r="B860"/>
      <c r="I860"/>
      <c r="J860"/>
      <c r="K860" t="str">
        <f t="shared" si="13"/>
        <v>2024NE001100</v>
      </c>
      <c r="L860" s="13">
        <v>72857</v>
      </c>
      <c r="M860" t="s">
        <v>70</v>
      </c>
      <c r="N860">
        <v>82845322000104</v>
      </c>
    </row>
    <row r="861" spans="1:14" x14ac:dyDescent="0.25">
      <c r="A861"/>
      <c r="B861"/>
      <c r="I861"/>
      <c r="J861"/>
      <c r="K861" t="str">
        <f t="shared" si="13"/>
        <v>2024NE001100</v>
      </c>
      <c r="L861" s="13">
        <v>72857</v>
      </c>
      <c r="M861" t="s">
        <v>70</v>
      </c>
      <c r="N861">
        <v>82845322000104</v>
      </c>
    </row>
    <row r="862" spans="1:14" x14ac:dyDescent="0.25">
      <c r="A862"/>
      <c r="B862"/>
      <c r="I862"/>
      <c r="J862"/>
      <c r="K862" t="str">
        <f t="shared" si="13"/>
        <v>2024NE001100</v>
      </c>
      <c r="L862" s="13">
        <v>72857</v>
      </c>
      <c r="M862" t="s">
        <v>70</v>
      </c>
      <c r="N862">
        <v>82845322000104</v>
      </c>
    </row>
    <row r="863" spans="1:14" x14ac:dyDescent="0.25">
      <c r="A863"/>
      <c r="B863"/>
      <c r="I863"/>
      <c r="J863"/>
      <c r="K863" t="str">
        <f t="shared" si="13"/>
        <v>2024NE001100</v>
      </c>
      <c r="L863" s="13">
        <v>72857</v>
      </c>
      <c r="M863" t="s">
        <v>70</v>
      </c>
      <c r="N863">
        <v>82845322000104</v>
      </c>
    </row>
    <row r="864" spans="1:14" x14ac:dyDescent="0.25">
      <c r="A864"/>
      <c r="B864"/>
      <c r="I864"/>
      <c r="J864"/>
      <c r="K864" t="str">
        <f t="shared" ref="K864:K873" si="14">HYPERLINK("http://www8.mpce.mp.br/Empenhos/150501/NE/2024NE001106.pdf","2024NE001106")</f>
        <v>2024NE001106</v>
      </c>
      <c r="L864" s="13">
        <v>153428</v>
      </c>
      <c r="M864" t="s">
        <v>70</v>
      </c>
      <c r="N864">
        <v>82845322000104</v>
      </c>
    </row>
    <row r="865" spans="1:14" x14ac:dyDescent="0.25">
      <c r="A865"/>
      <c r="B865"/>
      <c r="I865"/>
      <c r="J865"/>
      <c r="K865" t="str">
        <f t="shared" si="14"/>
        <v>2024NE001106</v>
      </c>
      <c r="L865" s="13">
        <v>153428</v>
      </c>
      <c r="M865" t="s">
        <v>70</v>
      </c>
      <c r="N865">
        <v>82845322000104</v>
      </c>
    </row>
    <row r="866" spans="1:14" x14ac:dyDescent="0.25">
      <c r="A866"/>
      <c r="B866"/>
      <c r="I866"/>
      <c r="J866"/>
      <c r="K866" t="str">
        <f t="shared" si="14"/>
        <v>2024NE001106</v>
      </c>
      <c r="L866" s="13">
        <v>153428</v>
      </c>
      <c r="M866" t="s">
        <v>70</v>
      </c>
      <c r="N866">
        <v>82845322000104</v>
      </c>
    </row>
    <row r="867" spans="1:14" x14ac:dyDescent="0.25">
      <c r="A867"/>
      <c r="B867"/>
      <c r="I867"/>
      <c r="J867"/>
      <c r="K867" t="str">
        <f t="shared" si="14"/>
        <v>2024NE001106</v>
      </c>
      <c r="L867" s="13">
        <v>153428</v>
      </c>
      <c r="M867" t="s">
        <v>70</v>
      </c>
      <c r="N867">
        <v>82845322000104</v>
      </c>
    </row>
    <row r="868" spans="1:14" x14ac:dyDescent="0.25">
      <c r="A868"/>
      <c r="B868"/>
      <c r="I868"/>
      <c r="J868"/>
      <c r="K868" t="str">
        <f t="shared" si="14"/>
        <v>2024NE001106</v>
      </c>
      <c r="L868" s="13">
        <v>153428</v>
      </c>
      <c r="M868" t="s">
        <v>70</v>
      </c>
      <c r="N868">
        <v>82845322000104</v>
      </c>
    </row>
    <row r="869" spans="1:14" x14ac:dyDescent="0.25">
      <c r="A869"/>
      <c r="B869"/>
      <c r="I869"/>
      <c r="J869"/>
      <c r="K869" t="str">
        <f t="shared" si="14"/>
        <v>2024NE001106</v>
      </c>
      <c r="L869" s="13">
        <v>153428</v>
      </c>
      <c r="M869" t="s">
        <v>70</v>
      </c>
      <c r="N869">
        <v>82845322000104</v>
      </c>
    </row>
    <row r="870" spans="1:14" x14ac:dyDescent="0.25">
      <c r="A870"/>
      <c r="B870"/>
      <c r="I870"/>
      <c r="J870"/>
      <c r="K870" t="str">
        <f t="shared" si="14"/>
        <v>2024NE001106</v>
      </c>
      <c r="L870" s="13">
        <v>153428</v>
      </c>
      <c r="M870" t="s">
        <v>70</v>
      </c>
      <c r="N870">
        <v>82845322000104</v>
      </c>
    </row>
    <row r="871" spans="1:14" x14ac:dyDescent="0.25">
      <c r="A871"/>
      <c r="B871"/>
      <c r="I871"/>
      <c r="J871"/>
      <c r="K871" t="str">
        <f t="shared" si="14"/>
        <v>2024NE001106</v>
      </c>
      <c r="L871" s="13">
        <v>153428</v>
      </c>
      <c r="M871" t="s">
        <v>70</v>
      </c>
      <c r="N871">
        <v>82845322000104</v>
      </c>
    </row>
    <row r="872" spans="1:14" x14ac:dyDescent="0.25">
      <c r="A872"/>
      <c r="B872"/>
      <c r="I872"/>
      <c r="J872"/>
      <c r="K872" t="str">
        <f t="shared" si="14"/>
        <v>2024NE001106</v>
      </c>
      <c r="L872" s="13">
        <v>153428</v>
      </c>
      <c r="M872" t="s">
        <v>70</v>
      </c>
      <c r="N872">
        <v>82845322000104</v>
      </c>
    </row>
    <row r="873" spans="1:14" x14ac:dyDescent="0.25">
      <c r="A873"/>
      <c r="B873"/>
      <c r="I873"/>
      <c r="J873"/>
      <c r="K873" t="str">
        <f t="shared" si="14"/>
        <v>2024NE001106</v>
      </c>
      <c r="L873" s="13">
        <v>153428</v>
      </c>
      <c r="M873" t="s">
        <v>70</v>
      </c>
      <c r="N873">
        <v>82845322000104</v>
      </c>
    </row>
    <row r="874" spans="1:14" x14ac:dyDescent="0.25">
      <c r="A874"/>
      <c r="B874"/>
      <c r="I874"/>
      <c r="J874"/>
      <c r="K874" t="str">
        <f>HYPERLINK("http://www8.mpce.mp.br/Empenhos/150501/NE/2024NE001124.pdf","2024NE001124")</f>
        <v>2024NE001124</v>
      </c>
      <c r="L874" s="13">
        <v>172101.36</v>
      </c>
      <c r="M874" t="s">
        <v>81</v>
      </c>
      <c r="N874">
        <v>5757597000218</v>
      </c>
    </row>
    <row r="875" spans="1:14" x14ac:dyDescent="0.25">
      <c r="A875"/>
      <c r="B875"/>
      <c r="I875"/>
      <c r="J875"/>
      <c r="K875" t="str">
        <f>HYPERLINK("http://www8.mpce.mp.br/Empenhos/150501/NE/2024NE001128.pdf","2024NE001128")</f>
        <v>2024NE001128</v>
      </c>
      <c r="L875" s="13">
        <v>131670</v>
      </c>
      <c r="M875" t="s">
        <v>81</v>
      </c>
      <c r="N875">
        <v>5757597000218</v>
      </c>
    </row>
    <row r="876" spans="1:14" x14ac:dyDescent="0.25">
      <c r="A876"/>
      <c r="B876"/>
      <c r="I876"/>
      <c r="J876"/>
      <c r="K876" t="str">
        <f>HYPERLINK("http://www8.mpce.mp.br/Empenhos/150501/NE/2024NE001128.pdf","2024NE001128")</f>
        <v>2024NE001128</v>
      </c>
      <c r="L876" s="13">
        <v>131670</v>
      </c>
      <c r="M876" t="s">
        <v>81</v>
      </c>
      <c r="N876">
        <v>5757597000218</v>
      </c>
    </row>
    <row r="877" spans="1:14" x14ac:dyDescent="0.25">
      <c r="A877"/>
      <c r="B877"/>
      <c r="I877"/>
      <c r="J877"/>
      <c r="K877" t="str">
        <f>HYPERLINK("http://www8.mpce.mp.br/Empenhos/150501/NE/2024NE001128.pdf","2024NE001128")</f>
        <v>2024NE001128</v>
      </c>
      <c r="L877" s="13">
        <v>131670</v>
      </c>
      <c r="M877" t="s">
        <v>81</v>
      </c>
      <c r="N877">
        <v>5757597000218</v>
      </c>
    </row>
    <row r="878" spans="1:14" x14ac:dyDescent="0.25">
      <c r="A878"/>
      <c r="B878"/>
      <c r="I878"/>
      <c r="J878"/>
      <c r="K878" t="str">
        <f>HYPERLINK("http://www8.mpce.mp.br/Empenhos/150501/NE/2024NE001152.pdf","2024NE001152")</f>
        <v>2024NE001152</v>
      </c>
      <c r="L878" s="13">
        <v>2500</v>
      </c>
      <c r="M878" t="s">
        <v>45</v>
      </c>
      <c r="N878">
        <v>7136315387</v>
      </c>
    </row>
    <row r="879" spans="1:14" x14ac:dyDescent="0.25">
      <c r="A879"/>
      <c r="B879"/>
      <c r="I879"/>
      <c r="J879"/>
      <c r="K879" t="str">
        <f>HYPERLINK("http://www8.mpce.mp.br/Empenhos/150001/NE/2024NE001153.pdf","2024NE001153")</f>
        <v>2024NE001153</v>
      </c>
      <c r="L879" s="13">
        <v>2935</v>
      </c>
      <c r="M879" t="s">
        <v>107</v>
      </c>
      <c r="N879">
        <v>28801634000162</v>
      </c>
    </row>
    <row r="880" spans="1:14" x14ac:dyDescent="0.25">
      <c r="A880"/>
      <c r="B880"/>
      <c r="I880"/>
      <c r="J880"/>
      <c r="K880" t="str">
        <f>HYPERLINK("http://www8.mpce.mp.br/Empenhos/150501/NE/2024NE001153.pdf","2024NE001153")</f>
        <v>2024NE001153</v>
      </c>
      <c r="L880" s="13">
        <v>1640.35</v>
      </c>
      <c r="M880" t="s">
        <v>42</v>
      </c>
      <c r="N880">
        <v>22588967000179</v>
      </c>
    </row>
    <row r="881" spans="1:14" x14ac:dyDescent="0.25">
      <c r="A881"/>
      <c r="B881"/>
      <c r="I881"/>
      <c r="J881"/>
      <c r="K881" t="str">
        <f>HYPERLINK("http://www8.mpce.mp.br/Empenhos/150001/NE/2024NE001154.pdf","2024NE001154")</f>
        <v>2024NE001154</v>
      </c>
      <c r="L881" s="13">
        <v>7890</v>
      </c>
      <c r="M881" t="s">
        <v>108</v>
      </c>
      <c r="N881">
        <v>29101955000117</v>
      </c>
    </row>
    <row r="882" spans="1:14" x14ac:dyDescent="0.25">
      <c r="A882"/>
      <c r="B882"/>
      <c r="I882"/>
      <c r="J882"/>
      <c r="K882" t="str">
        <f>HYPERLINK("http://www8.mpce.mp.br/Empenhos/150501/NE/2024NE001154.pdf","2024NE001154")</f>
        <v>2024NE001154</v>
      </c>
      <c r="L882">
        <v>499.1</v>
      </c>
      <c r="M882" t="s">
        <v>42</v>
      </c>
      <c r="N882">
        <v>22588967000179</v>
      </c>
    </row>
    <row r="883" spans="1:14" x14ac:dyDescent="0.25">
      <c r="A883"/>
      <c r="B883"/>
      <c r="I883"/>
      <c r="J883"/>
      <c r="K883" t="str">
        <f>HYPERLINK("http://www8.mpce.mp.br/Empenhos/150001/NE/2024NE001155.pdf","2024NE001155")</f>
        <v>2024NE001155</v>
      </c>
      <c r="L883">
        <v>847</v>
      </c>
      <c r="M883" t="s">
        <v>109</v>
      </c>
      <c r="N883">
        <v>1722296000117</v>
      </c>
    </row>
    <row r="884" spans="1:14" x14ac:dyDescent="0.25">
      <c r="A884"/>
      <c r="B884"/>
      <c r="I884"/>
      <c r="J884"/>
      <c r="K884" t="str">
        <f>HYPERLINK("http://www8.mpce.mp.br/Empenhos/150001/NE/2024NE001156.pdf","2024NE001156")</f>
        <v>2024NE001156</v>
      </c>
      <c r="L884" s="13">
        <v>38108.46</v>
      </c>
      <c r="M884" t="s">
        <v>110</v>
      </c>
      <c r="N884">
        <v>9485574000171</v>
      </c>
    </row>
    <row r="885" spans="1:14" x14ac:dyDescent="0.25">
      <c r="A885"/>
      <c r="B885"/>
      <c r="I885"/>
      <c r="J885"/>
      <c r="K885" t="str">
        <f>HYPERLINK("http://www8.mpce.mp.br/Empenhos/150501/NE/2024NE001157.pdf","2024NE001157")</f>
        <v>2024NE001157</v>
      </c>
      <c r="L885" s="13">
        <v>1605.66</v>
      </c>
      <c r="M885" t="s">
        <v>42</v>
      </c>
      <c r="N885">
        <v>22588967000179</v>
      </c>
    </row>
    <row r="886" spans="1:14" x14ac:dyDescent="0.25">
      <c r="A886"/>
      <c r="B886"/>
      <c r="I886"/>
      <c r="J886"/>
      <c r="K886" t="str">
        <f>HYPERLINK("http://www8.mpce.mp.br/Empenhos/150501/NE/2024NE001158.pdf","2024NE001158")</f>
        <v>2024NE001158</v>
      </c>
      <c r="L886" s="13">
        <v>5546.1</v>
      </c>
      <c r="M886" t="s">
        <v>42</v>
      </c>
      <c r="N886">
        <v>22588967000179</v>
      </c>
    </row>
    <row r="887" spans="1:14" x14ac:dyDescent="0.25">
      <c r="A887"/>
      <c r="B887"/>
      <c r="I887"/>
      <c r="J887"/>
      <c r="K887" t="str">
        <f>HYPERLINK("http://www8.mpce.mp.br/Empenhos/150001/NE/2024NE001159.pdf","2024NE001159")</f>
        <v>2024NE001159</v>
      </c>
      <c r="L887" s="13">
        <v>90000</v>
      </c>
      <c r="M887" t="s">
        <v>72</v>
      </c>
      <c r="N887">
        <v>7040108000157</v>
      </c>
    </row>
    <row r="888" spans="1:14" x14ac:dyDescent="0.25">
      <c r="A888"/>
      <c r="B888"/>
      <c r="I888"/>
      <c r="J888"/>
      <c r="K888" t="str">
        <f>HYPERLINK("http://www8.mpce.mp.br/Empenhos/150501/NE/2024NE001159.pdf","2024NE001159")</f>
        <v>2024NE001159</v>
      </c>
      <c r="L888" s="13">
        <v>2400</v>
      </c>
      <c r="M888" t="s">
        <v>35</v>
      </c>
      <c r="N888">
        <v>25876988391</v>
      </c>
    </row>
    <row r="889" spans="1:14" x14ac:dyDescent="0.25">
      <c r="A889"/>
      <c r="B889"/>
      <c r="I889"/>
      <c r="J889"/>
      <c r="K889" t="str">
        <f>HYPERLINK("http://www8.mpce.mp.br/Empenhos/150501/NE/2024NE001160.pdf","2024NE001160")</f>
        <v>2024NE001160</v>
      </c>
      <c r="L889" s="13">
        <v>2823.27</v>
      </c>
      <c r="M889" t="s">
        <v>37</v>
      </c>
      <c r="N889">
        <v>35165286215</v>
      </c>
    </row>
    <row r="890" spans="1:14" x14ac:dyDescent="0.25">
      <c r="A890"/>
      <c r="B890"/>
      <c r="I890"/>
      <c r="J890"/>
      <c r="K890" t="str">
        <f>HYPERLINK("http://www8.mpce.mp.br/Empenhos/150501/NE/2024NE001161.pdf","2024NE001161")</f>
        <v>2024NE001161</v>
      </c>
      <c r="L890" s="13">
        <v>5518.15</v>
      </c>
      <c r="M890" t="s">
        <v>36</v>
      </c>
      <c r="N890">
        <v>34123367852</v>
      </c>
    </row>
    <row r="891" spans="1:14" x14ac:dyDescent="0.25">
      <c r="A891"/>
      <c r="B891"/>
      <c r="I891"/>
      <c r="J891"/>
      <c r="L891" s="13"/>
    </row>
    <row r="892" spans="1:14" x14ac:dyDescent="0.25">
      <c r="A892"/>
      <c r="B892"/>
      <c r="I892"/>
      <c r="J892"/>
      <c r="L892" s="13"/>
    </row>
    <row r="893" spans="1:14" x14ac:dyDescent="0.25">
      <c r="A893"/>
      <c r="B893"/>
      <c r="I893"/>
      <c r="J893"/>
    </row>
    <row r="894" spans="1:14" x14ac:dyDescent="0.25">
      <c r="A894"/>
      <c r="B894"/>
      <c r="I894"/>
      <c r="J894"/>
      <c r="L894" s="13"/>
    </row>
    <row r="895" spans="1:14" x14ac:dyDescent="0.25">
      <c r="A895"/>
      <c r="B895"/>
      <c r="I895"/>
      <c r="J895"/>
      <c r="L895" s="13"/>
    </row>
    <row r="896" spans="1:14" x14ac:dyDescent="0.25">
      <c r="A896"/>
      <c r="B896"/>
      <c r="I896"/>
      <c r="J896"/>
      <c r="L896" s="13"/>
    </row>
    <row r="897" spans="1:12" x14ac:dyDescent="0.25">
      <c r="A897"/>
      <c r="B897"/>
      <c r="I897"/>
      <c r="J897"/>
      <c r="L897" s="13"/>
    </row>
    <row r="898" spans="1:12" x14ac:dyDescent="0.25">
      <c r="A898"/>
      <c r="B898"/>
      <c r="I898"/>
      <c r="J898"/>
    </row>
    <row r="899" spans="1:12" x14ac:dyDescent="0.25">
      <c r="A899"/>
      <c r="B899"/>
      <c r="I899"/>
      <c r="J899"/>
      <c r="L899" s="13"/>
    </row>
    <row r="900" spans="1:12" x14ac:dyDescent="0.25">
      <c r="A900"/>
      <c r="B900"/>
      <c r="I900"/>
      <c r="J900"/>
      <c r="L900" s="13"/>
    </row>
    <row r="901" spans="1:12" x14ac:dyDescent="0.25">
      <c r="A901"/>
      <c r="B901"/>
      <c r="I901"/>
      <c r="J901"/>
      <c r="L901" s="13"/>
    </row>
    <row r="902" spans="1:12" x14ac:dyDescent="0.25">
      <c r="A902"/>
      <c r="B902"/>
      <c r="I902"/>
      <c r="J902"/>
      <c r="L902" s="13"/>
    </row>
    <row r="903" spans="1:12" x14ac:dyDescent="0.25">
      <c r="A903"/>
      <c r="B903"/>
      <c r="I903"/>
      <c r="J903"/>
      <c r="L903" s="13"/>
    </row>
    <row r="904" spans="1:12" x14ac:dyDescent="0.25">
      <c r="A904"/>
      <c r="B904"/>
      <c r="I904"/>
      <c r="J904"/>
    </row>
    <row r="905" spans="1:12" x14ac:dyDescent="0.25">
      <c r="A905"/>
      <c r="B905"/>
      <c r="I905"/>
      <c r="J905"/>
      <c r="L905" s="13"/>
    </row>
    <row r="906" spans="1:12" x14ac:dyDescent="0.25">
      <c r="A906"/>
      <c r="B906"/>
      <c r="I906"/>
      <c r="J906"/>
    </row>
    <row r="907" spans="1:12" x14ac:dyDescent="0.25">
      <c r="A907"/>
      <c r="B907"/>
      <c r="I907"/>
      <c r="J907"/>
    </row>
    <row r="908" spans="1:12" x14ac:dyDescent="0.25">
      <c r="A908"/>
      <c r="B908"/>
      <c r="I908"/>
      <c r="J908"/>
      <c r="L908" s="13"/>
    </row>
    <row r="909" spans="1:12" x14ac:dyDescent="0.25">
      <c r="A909"/>
      <c r="B909"/>
      <c r="I909"/>
      <c r="J909"/>
      <c r="L909" s="13"/>
    </row>
    <row r="910" spans="1:12" x14ac:dyDescent="0.25">
      <c r="A910"/>
      <c r="B910"/>
      <c r="I910"/>
      <c r="J910"/>
      <c r="L910" s="13"/>
    </row>
    <row r="911" spans="1:12" x14ac:dyDescent="0.25">
      <c r="A911"/>
      <c r="B911"/>
      <c r="I911"/>
      <c r="J911"/>
      <c r="L911" s="13"/>
    </row>
    <row r="912" spans="1:12" x14ac:dyDescent="0.25">
      <c r="A912"/>
      <c r="B912"/>
      <c r="I912"/>
      <c r="J912"/>
      <c r="L912" s="13"/>
    </row>
    <row r="913" spans="1:12" x14ac:dyDescent="0.25">
      <c r="A913"/>
      <c r="B913"/>
      <c r="I913"/>
      <c r="J913"/>
      <c r="L913" s="13"/>
    </row>
    <row r="914" spans="1:12" x14ac:dyDescent="0.25">
      <c r="A914"/>
      <c r="B914"/>
      <c r="I914"/>
      <c r="J914"/>
      <c r="L914" s="13"/>
    </row>
    <row r="915" spans="1:12" x14ac:dyDescent="0.25">
      <c r="A915"/>
      <c r="B915"/>
      <c r="I915"/>
      <c r="J915"/>
      <c r="L915" s="13"/>
    </row>
    <row r="916" spans="1:12" x14ac:dyDescent="0.25">
      <c r="A916"/>
      <c r="B916"/>
      <c r="I916"/>
      <c r="J916"/>
      <c r="L916" s="13"/>
    </row>
    <row r="917" spans="1:12" x14ac:dyDescent="0.25">
      <c r="A917"/>
      <c r="B917"/>
      <c r="I917"/>
      <c r="J917"/>
      <c r="L917" s="13"/>
    </row>
    <row r="918" spans="1:12" x14ac:dyDescent="0.25">
      <c r="A918"/>
      <c r="B918"/>
      <c r="I918"/>
      <c r="J918"/>
      <c r="L918" s="13"/>
    </row>
    <row r="919" spans="1:12" x14ac:dyDescent="0.25">
      <c r="A919"/>
      <c r="B919"/>
      <c r="I919"/>
      <c r="J919"/>
      <c r="L919" s="13"/>
    </row>
    <row r="920" spans="1:12" x14ac:dyDescent="0.25">
      <c r="A920"/>
      <c r="B920"/>
      <c r="I920"/>
      <c r="J920"/>
    </row>
    <row r="921" spans="1:12" x14ac:dyDescent="0.25">
      <c r="A921"/>
      <c r="B921"/>
      <c r="I921"/>
      <c r="J921"/>
    </row>
    <row r="922" spans="1:12" x14ac:dyDescent="0.25">
      <c r="A922"/>
      <c r="B922"/>
      <c r="I922"/>
      <c r="J922"/>
    </row>
    <row r="923" spans="1:12" x14ac:dyDescent="0.25">
      <c r="A923"/>
      <c r="B923"/>
      <c r="I923"/>
      <c r="J923"/>
    </row>
    <row r="924" spans="1:12" x14ac:dyDescent="0.25">
      <c r="A924"/>
      <c r="B924"/>
      <c r="I924"/>
      <c r="J924"/>
    </row>
    <row r="925" spans="1:12" x14ac:dyDescent="0.25">
      <c r="A925"/>
      <c r="B925"/>
      <c r="I925"/>
      <c r="J925"/>
    </row>
    <row r="926" spans="1:12" x14ac:dyDescent="0.25">
      <c r="A926"/>
      <c r="B926"/>
      <c r="I926"/>
      <c r="J926"/>
    </row>
    <row r="927" spans="1:12" x14ac:dyDescent="0.25">
      <c r="A927"/>
      <c r="B927"/>
      <c r="I927"/>
      <c r="J927"/>
    </row>
    <row r="928" spans="1:12" x14ac:dyDescent="0.25">
      <c r="A928"/>
      <c r="B928"/>
      <c r="I928"/>
      <c r="J928"/>
    </row>
    <row r="929" spans="1:12" x14ac:dyDescent="0.25">
      <c r="A929"/>
      <c r="B929"/>
      <c r="I929"/>
      <c r="J929"/>
    </row>
    <row r="930" spans="1:12" x14ac:dyDescent="0.25">
      <c r="A930"/>
      <c r="B930"/>
      <c r="I930"/>
      <c r="J930"/>
    </row>
    <row r="931" spans="1:12" x14ac:dyDescent="0.25">
      <c r="A931"/>
      <c r="B931"/>
      <c r="I931"/>
      <c r="J931"/>
    </row>
    <row r="932" spans="1:12" x14ac:dyDescent="0.25">
      <c r="A932"/>
      <c r="B932"/>
      <c r="I932"/>
      <c r="J932"/>
    </row>
    <row r="933" spans="1:12" x14ac:dyDescent="0.25">
      <c r="A933"/>
      <c r="B933"/>
      <c r="I933"/>
      <c r="J933"/>
      <c r="L933" s="13"/>
    </row>
    <row r="934" spans="1:12" x14ac:dyDescent="0.25">
      <c r="A934"/>
      <c r="B934"/>
      <c r="I934"/>
      <c r="J934"/>
      <c r="L934" s="13"/>
    </row>
    <row r="935" spans="1:12" x14ac:dyDescent="0.25">
      <c r="A935"/>
      <c r="B935"/>
      <c r="I935"/>
      <c r="J935"/>
    </row>
    <row r="936" spans="1:12" x14ac:dyDescent="0.25">
      <c r="A936"/>
      <c r="B936"/>
      <c r="I936"/>
      <c r="J936"/>
      <c r="L936" s="13"/>
    </row>
    <row r="937" spans="1:12" x14ac:dyDescent="0.25">
      <c r="A937"/>
      <c r="B937"/>
      <c r="I937"/>
      <c r="J937"/>
      <c r="L937" s="13"/>
    </row>
    <row r="938" spans="1:12" x14ac:dyDescent="0.25">
      <c r="A938"/>
      <c r="B938"/>
      <c r="I938"/>
      <c r="J938"/>
      <c r="L938" s="13"/>
    </row>
    <row r="939" spans="1:12" x14ac:dyDescent="0.25">
      <c r="A939"/>
      <c r="B939"/>
      <c r="I939"/>
      <c r="J939"/>
      <c r="L939" s="13"/>
    </row>
    <row r="940" spans="1:12" x14ac:dyDescent="0.25">
      <c r="A940"/>
      <c r="B940"/>
      <c r="I940"/>
      <c r="J940"/>
      <c r="L940" s="13"/>
    </row>
    <row r="941" spans="1:12" x14ac:dyDescent="0.25">
      <c r="A941"/>
      <c r="B941"/>
      <c r="I941"/>
      <c r="J941"/>
      <c r="L941" s="13"/>
    </row>
    <row r="942" spans="1:12" x14ac:dyDescent="0.25">
      <c r="A942"/>
      <c r="B942"/>
      <c r="I942"/>
      <c r="J942"/>
      <c r="L942" s="13"/>
    </row>
    <row r="943" spans="1:12" x14ac:dyDescent="0.25">
      <c r="A943"/>
      <c r="B943"/>
      <c r="I943"/>
      <c r="J943"/>
      <c r="L943" s="13"/>
    </row>
    <row r="944" spans="1:12" x14ac:dyDescent="0.25">
      <c r="A944"/>
      <c r="B944"/>
      <c r="I944"/>
      <c r="J944"/>
      <c r="L944" s="13"/>
    </row>
    <row r="945" spans="1:12" x14ac:dyDescent="0.25">
      <c r="A945"/>
      <c r="B945"/>
      <c r="I945"/>
      <c r="J945"/>
      <c r="L945" s="13"/>
    </row>
    <row r="946" spans="1:12" x14ac:dyDescent="0.25">
      <c r="A946"/>
      <c r="B946"/>
      <c r="I946"/>
      <c r="J946"/>
      <c r="L946" s="13"/>
    </row>
    <row r="947" spans="1:12" x14ac:dyDescent="0.25">
      <c r="A947"/>
      <c r="B947"/>
      <c r="I947"/>
      <c r="J947"/>
      <c r="L947" s="13"/>
    </row>
    <row r="948" spans="1:12" x14ac:dyDescent="0.25">
      <c r="A948"/>
      <c r="B948"/>
      <c r="I948"/>
      <c r="J948"/>
      <c r="L948" s="13"/>
    </row>
    <row r="949" spans="1:12" x14ac:dyDescent="0.25">
      <c r="A949"/>
      <c r="B949"/>
      <c r="I949"/>
      <c r="J949"/>
      <c r="L949" s="13"/>
    </row>
    <row r="950" spans="1:12" x14ac:dyDescent="0.25">
      <c r="A950"/>
      <c r="B950"/>
      <c r="I950"/>
      <c r="J950"/>
      <c r="L950" s="13"/>
    </row>
    <row r="951" spans="1:12" x14ac:dyDescent="0.25">
      <c r="A951"/>
      <c r="B951"/>
      <c r="I951"/>
      <c r="J951"/>
      <c r="L951" s="13"/>
    </row>
    <row r="952" spans="1:12" x14ac:dyDescent="0.25">
      <c r="A952"/>
      <c r="B952"/>
      <c r="I952"/>
      <c r="J952"/>
      <c r="L952" s="13"/>
    </row>
    <row r="953" spans="1:12" x14ac:dyDescent="0.25">
      <c r="A953"/>
      <c r="B953"/>
      <c r="I953"/>
      <c r="J953"/>
      <c r="L953" s="13"/>
    </row>
    <row r="954" spans="1:12" x14ac:dyDescent="0.25">
      <c r="A954"/>
      <c r="B954"/>
      <c r="I954"/>
      <c r="J954"/>
      <c r="L954" s="13"/>
    </row>
    <row r="955" spans="1:12" x14ac:dyDescent="0.25">
      <c r="A955"/>
      <c r="B955"/>
      <c r="I955"/>
      <c r="J955"/>
    </row>
    <row r="956" spans="1:12" x14ac:dyDescent="0.25">
      <c r="A956"/>
      <c r="B956"/>
      <c r="I956"/>
      <c r="J956"/>
      <c r="L956" s="13"/>
    </row>
    <row r="957" spans="1:12" x14ac:dyDescent="0.25">
      <c r="A957"/>
      <c r="B957"/>
      <c r="I957"/>
      <c r="J957"/>
      <c r="L957" s="13"/>
    </row>
    <row r="958" spans="1:12" x14ac:dyDescent="0.25">
      <c r="A958"/>
      <c r="B958"/>
      <c r="I958"/>
      <c r="J958"/>
      <c r="L958" s="13"/>
    </row>
    <row r="959" spans="1:12" x14ac:dyDescent="0.25">
      <c r="A959"/>
      <c r="B959"/>
      <c r="I959"/>
      <c r="J959"/>
      <c r="L959" s="13"/>
    </row>
    <row r="960" spans="1:12" x14ac:dyDescent="0.25">
      <c r="A960"/>
      <c r="B960"/>
      <c r="I960"/>
      <c r="J960"/>
      <c r="L960" s="13"/>
    </row>
    <row r="961" spans="1:12" x14ac:dyDescent="0.25">
      <c r="A961"/>
      <c r="B961"/>
      <c r="I961"/>
      <c r="J961"/>
      <c r="L961" s="13"/>
    </row>
    <row r="962" spans="1:12" x14ac:dyDescent="0.25">
      <c r="A962"/>
      <c r="B962"/>
      <c r="I962"/>
      <c r="J962"/>
      <c r="L962" s="13"/>
    </row>
    <row r="963" spans="1:12" x14ac:dyDescent="0.25">
      <c r="A963"/>
      <c r="B963"/>
      <c r="I963"/>
      <c r="J963"/>
      <c r="L963" s="13"/>
    </row>
    <row r="964" spans="1:12" x14ac:dyDescent="0.25">
      <c r="A964"/>
      <c r="B964"/>
      <c r="I964"/>
      <c r="J964"/>
      <c r="L964" s="13"/>
    </row>
    <row r="965" spans="1:12" x14ac:dyDescent="0.25">
      <c r="A965"/>
      <c r="B965"/>
      <c r="I965"/>
      <c r="J965"/>
      <c r="L965" s="13"/>
    </row>
    <row r="966" spans="1:12" x14ac:dyDescent="0.25">
      <c r="A966"/>
      <c r="B966"/>
      <c r="I966"/>
      <c r="J966"/>
      <c r="L966" s="13"/>
    </row>
    <row r="967" spans="1:12" x14ac:dyDescent="0.25">
      <c r="A967"/>
      <c r="B967"/>
      <c r="I967"/>
      <c r="J967"/>
    </row>
    <row r="968" spans="1:12" x14ac:dyDescent="0.25">
      <c r="A968"/>
      <c r="B968"/>
      <c r="I968"/>
      <c r="J968"/>
    </row>
    <row r="969" spans="1:12" x14ac:dyDescent="0.25">
      <c r="A969"/>
      <c r="B969"/>
      <c r="I969"/>
      <c r="J969"/>
    </row>
    <row r="970" spans="1:12" x14ac:dyDescent="0.25">
      <c r="A970"/>
      <c r="B970"/>
      <c r="I970"/>
      <c r="J970"/>
    </row>
    <row r="971" spans="1:12" x14ac:dyDescent="0.25">
      <c r="A971"/>
      <c r="B971"/>
      <c r="I971"/>
      <c r="J971"/>
    </row>
    <row r="972" spans="1:12" x14ac:dyDescent="0.25">
      <c r="A972"/>
      <c r="B972"/>
      <c r="I972"/>
      <c r="J972"/>
    </row>
    <row r="973" spans="1:12" x14ac:dyDescent="0.25">
      <c r="A973"/>
      <c r="B973"/>
      <c r="I973"/>
      <c r="J973"/>
    </row>
    <row r="974" spans="1:12" x14ac:dyDescent="0.25">
      <c r="A974"/>
      <c r="B974"/>
      <c r="I974"/>
      <c r="J974"/>
    </row>
    <row r="975" spans="1:12" x14ac:dyDescent="0.25">
      <c r="A975"/>
      <c r="B975"/>
      <c r="I975"/>
      <c r="J975"/>
    </row>
    <row r="976" spans="1:12" x14ac:dyDescent="0.25">
      <c r="A976"/>
      <c r="B976"/>
      <c r="I976"/>
      <c r="J976"/>
    </row>
    <row r="977" spans="1:12" x14ac:dyDescent="0.25">
      <c r="A977"/>
      <c r="B977"/>
      <c r="I977"/>
      <c r="J977"/>
    </row>
    <row r="978" spans="1:12" x14ac:dyDescent="0.25">
      <c r="A978"/>
      <c r="B978"/>
      <c r="I978"/>
      <c r="J978"/>
    </row>
    <row r="979" spans="1:12" x14ac:dyDescent="0.25">
      <c r="A979"/>
      <c r="B979"/>
      <c r="I979"/>
      <c r="J979"/>
    </row>
    <row r="980" spans="1:12" x14ac:dyDescent="0.25">
      <c r="A980"/>
      <c r="B980"/>
      <c r="I980"/>
      <c r="J980"/>
    </row>
    <row r="981" spans="1:12" x14ac:dyDescent="0.25">
      <c r="A981"/>
      <c r="B981"/>
      <c r="I981"/>
      <c r="J981"/>
      <c r="L981" s="13"/>
    </row>
    <row r="982" spans="1:12" x14ac:dyDescent="0.25">
      <c r="A982"/>
      <c r="B982"/>
      <c r="I982"/>
      <c r="J982"/>
      <c r="L982" s="13"/>
    </row>
    <row r="983" spans="1:12" x14ac:dyDescent="0.25">
      <c r="A983"/>
      <c r="B983"/>
      <c r="I983"/>
      <c r="J983"/>
      <c r="L983" s="13"/>
    </row>
    <row r="984" spans="1:12" x14ac:dyDescent="0.25">
      <c r="A984"/>
      <c r="B984"/>
      <c r="I984"/>
      <c r="J984"/>
      <c r="L984" s="13"/>
    </row>
    <row r="985" spans="1:12" x14ac:dyDescent="0.25">
      <c r="A985"/>
      <c r="B985"/>
      <c r="I985"/>
      <c r="J985"/>
      <c r="L985" s="13"/>
    </row>
    <row r="986" spans="1:12" x14ac:dyDescent="0.25">
      <c r="A986"/>
      <c r="B986"/>
      <c r="I986"/>
      <c r="J986"/>
      <c r="L986" s="13"/>
    </row>
    <row r="987" spans="1:12" x14ac:dyDescent="0.25">
      <c r="A987"/>
      <c r="B987"/>
      <c r="I987"/>
      <c r="J987"/>
      <c r="L987" s="13"/>
    </row>
    <row r="988" spans="1:12" x14ac:dyDescent="0.25">
      <c r="A988"/>
      <c r="B988"/>
      <c r="I988"/>
      <c r="J988"/>
    </row>
    <row r="989" spans="1:12" x14ac:dyDescent="0.25">
      <c r="A989"/>
      <c r="B989"/>
      <c r="I989"/>
      <c r="J989"/>
    </row>
    <row r="990" spans="1:12" x14ac:dyDescent="0.25">
      <c r="A990"/>
      <c r="B990"/>
      <c r="I990"/>
      <c r="J990"/>
    </row>
    <row r="991" spans="1:12" x14ac:dyDescent="0.25">
      <c r="A991"/>
      <c r="B991"/>
      <c r="I991"/>
      <c r="J991"/>
    </row>
    <row r="992" spans="1:12" x14ac:dyDescent="0.25">
      <c r="A992"/>
      <c r="B992"/>
      <c r="I992"/>
      <c r="J992"/>
    </row>
    <row r="993" spans="5:5" customFormat="1" x14ac:dyDescent="0.25">
      <c r="E993" s="18"/>
    </row>
    <row r="994" spans="5:5" customFormat="1" x14ac:dyDescent="0.25">
      <c r="E994" s="18"/>
    </row>
    <row r="995" spans="5:5" customFormat="1" x14ac:dyDescent="0.25">
      <c r="E995" s="18"/>
    </row>
    <row r="996" spans="5:5" customFormat="1" x14ac:dyDescent="0.25">
      <c r="E996" s="18"/>
    </row>
    <row r="997" spans="5:5" customFormat="1" x14ac:dyDescent="0.25">
      <c r="E997" s="18"/>
    </row>
    <row r="998" spans="5:5" customFormat="1" x14ac:dyDescent="0.25">
      <c r="E998" s="18"/>
    </row>
    <row r="999" spans="5:5" customFormat="1" x14ac:dyDescent="0.25">
      <c r="E999" s="18"/>
    </row>
    <row r="1000" spans="5:5" customFormat="1" x14ac:dyDescent="0.25">
      <c r="E1000" s="18"/>
    </row>
    <row r="1001" spans="5:5" customFormat="1" x14ac:dyDescent="0.25">
      <c r="E1001" s="18"/>
    </row>
    <row r="1002" spans="5:5" customFormat="1" x14ac:dyDescent="0.25">
      <c r="E1002" s="18"/>
    </row>
    <row r="1003" spans="5:5" customFormat="1" x14ac:dyDescent="0.25">
      <c r="E1003" s="18"/>
    </row>
    <row r="1004" spans="5:5" customFormat="1" x14ac:dyDescent="0.25">
      <c r="E1004" s="18"/>
    </row>
    <row r="1005" spans="5:5" customFormat="1" x14ac:dyDescent="0.25">
      <c r="E1005" s="18"/>
    </row>
    <row r="1006" spans="5:5" customFormat="1" x14ac:dyDescent="0.25">
      <c r="E1006" s="18"/>
    </row>
    <row r="1007" spans="5:5" customFormat="1" x14ac:dyDescent="0.25">
      <c r="E1007" s="18"/>
    </row>
    <row r="1008" spans="5:5" customFormat="1" x14ac:dyDescent="0.25">
      <c r="E1008" s="18"/>
    </row>
    <row r="1009" spans="5:5" customFormat="1" x14ac:dyDescent="0.25">
      <c r="E1009" s="18"/>
    </row>
    <row r="1010" spans="5:5" customFormat="1" x14ac:dyDescent="0.25">
      <c r="E1010" s="18"/>
    </row>
    <row r="1011" spans="5:5" customFormat="1" x14ac:dyDescent="0.25">
      <c r="E1011" s="18"/>
    </row>
    <row r="1012" spans="5:5" customFormat="1" x14ac:dyDescent="0.25">
      <c r="E1012" s="18"/>
    </row>
    <row r="1013" spans="5:5" customFormat="1" x14ac:dyDescent="0.25">
      <c r="E1013" s="18"/>
    </row>
    <row r="1014" spans="5:5" customFormat="1" x14ac:dyDescent="0.25">
      <c r="E1014" s="18"/>
    </row>
    <row r="1015" spans="5:5" customFormat="1" x14ac:dyDescent="0.25">
      <c r="E1015" s="18"/>
    </row>
    <row r="1016" spans="5:5" customFormat="1" x14ac:dyDescent="0.25">
      <c r="E1016" s="18"/>
    </row>
    <row r="1017" spans="5:5" customFormat="1" x14ac:dyDescent="0.25">
      <c r="E1017" s="18"/>
    </row>
    <row r="1018" spans="5:5" customFormat="1" x14ac:dyDescent="0.25">
      <c r="E1018" s="18"/>
    </row>
    <row r="1019" spans="5:5" customFormat="1" x14ac:dyDescent="0.25">
      <c r="E1019" s="18"/>
    </row>
    <row r="1020" spans="5:5" customFormat="1" x14ac:dyDescent="0.25">
      <c r="E1020" s="18"/>
    </row>
    <row r="1021" spans="5:5" customFormat="1" x14ac:dyDescent="0.25">
      <c r="E1021" s="18"/>
    </row>
    <row r="1022" spans="5:5" customFormat="1" x14ac:dyDescent="0.25">
      <c r="E1022" s="18"/>
    </row>
    <row r="1023" spans="5:5" customFormat="1" x14ac:dyDescent="0.25">
      <c r="E1023" s="18"/>
    </row>
    <row r="1024" spans="5:5" customFormat="1" x14ac:dyDescent="0.25">
      <c r="E1024" s="18"/>
    </row>
    <row r="1025" spans="5:5" customFormat="1" x14ac:dyDescent="0.25">
      <c r="E1025" s="18"/>
    </row>
    <row r="1026" spans="5:5" customFormat="1" x14ac:dyDescent="0.25">
      <c r="E1026" s="18"/>
    </row>
    <row r="1027" spans="5:5" customFormat="1" x14ac:dyDescent="0.25">
      <c r="E1027" s="18"/>
    </row>
    <row r="1028" spans="5:5" customFormat="1" x14ac:dyDescent="0.25">
      <c r="E1028" s="18"/>
    </row>
    <row r="1029" spans="5:5" customFormat="1" x14ac:dyDescent="0.25">
      <c r="E1029" s="18"/>
    </row>
    <row r="1030" spans="5:5" customFormat="1" x14ac:dyDescent="0.25">
      <c r="E1030" s="18"/>
    </row>
    <row r="1031" spans="5:5" customFormat="1" x14ac:dyDescent="0.25">
      <c r="E1031" s="18"/>
    </row>
    <row r="1032" spans="5:5" customFormat="1" x14ac:dyDescent="0.25">
      <c r="E1032" s="18"/>
    </row>
    <row r="1033" spans="5:5" customFormat="1" x14ac:dyDescent="0.25">
      <c r="E1033" s="18"/>
    </row>
    <row r="1034" spans="5:5" customFormat="1" x14ac:dyDescent="0.25">
      <c r="E1034" s="18"/>
    </row>
    <row r="1035" spans="5:5" customFormat="1" x14ac:dyDescent="0.25">
      <c r="E1035" s="18"/>
    </row>
    <row r="1036" spans="5:5" customFormat="1" x14ac:dyDescent="0.25">
      <c r="E1036" s="18"/>
    </row>
    <row r="1037" spans="5:5" customFormat="1" x14ac:dyDescent="0.25">
      <c r="E1037" s="18"/>
    </row>
    <row r="1038" spans="5:5" customFormat="1" x14ac:dyDescent="0.25">
      <c r="E1038" s="18"/>
    </row>
    <row r="1039" spans="5:5" customFormat="1" x14ac:dyDescent="0.25">
      <c r="E1039" s="18"/>
    </row>
    <row r="1040" spans="5:5" customFormat="1" x14ac:dyDescent="0.25">
      <c r="E1040" s="18"/>
    </row>
    <row r="1041" spans="5:5" customFormat="1" x14ac:dyDescent="0.25">
      <c r="E1041" s="18"/>
    </row>
    <row r="1042" spans="5:5" customFormat="1" x14ac:dyDescent="0.25">
      <c r="E1042" s="18"/>
    </row>
    <row r="1043" spans="5:5" customFormat="1" x14ac:dyDescent="0.25">
      <c r="E1043" s="18"/>
    </row>
    <row r="1044" spans="5:5" customFormat="1" x14ac:dyDescent="0.25">
      <c r="E1044" s="18"/>
    </row>
    <row r="1045" spans="5:5" customFormat="1" x14ac:dyDescent="0.25">
      <c r="E1045" s="18"/>
    </row>
    <row r="1046" spans="5:5" customFormat="1" x14ac:dyDescent="0.25">
      <c r="E1046" s="18"/>
    </row>
    <row r="1047" spans="5:5" customFormat="1" x14ac:dyDescent="0.25">
      <c r="E1047" s="18"/>
    </row>
    <row r="1048" spans="5:5" customFormat="1" x14ac:dyDescent="0.25">
      <c r="E1048" s="18"/>
    </row>
    <row r="1049" spans="5:5" customFormat="1" x14ac:dyDescent="0.25">
      <c r="E1049" s="18"/>
    </row>
    <row r="1050" spans="5:5" customFormat="1" x14ac:dyDescent="0.25">
      <c r="E1050" s="18"/>
    </row>
    <row r="1051" spans="5:5" customFormat="1" x14ac:dyDescent="0.25">
      <c r="E1051" s="18"/>
    </row>
    <row r="1052" spans="5:5" customFormat="1" x14ac:dyDescent="0.25">
      <c r="E1052" s="18"/>
    </row>
    <row r="1053" spans="5:5" customFormat="1" x14ac:dyDescent="0.25">
      <c r="E1053" s="18"/>
    </row>
    <row r="1054" spans="5:5" customFormat="1" x14ac:dyDescent="0.25">
      <c r="E1054" s="18"/>
    </row>
    <row r="1055" spans="5:5" customFormat="1" x14ac:dyDescent="0.25">
      <c r="E1055" s="18"/>
    </row>
    <row r="1056" spans="5:5" customFormat="1" x14ac:dyDescent="0.25">
      <c r="E1056" s="18"/>
    </row>
    <row r="1057" spans="5:5" customFormat="1" x14ac:dyDescent="0.25">
      <c r="E1057" s="18"/>
    </row>
    <row r="1058" spans="5:5" customFormat="1" x14ac:dyDescent="0.25">
      <c r="E1058" s="18"/>
    </row>
    <row r="1059" spans="5:5" customFormat="1" x14ac:dyDescent="0.25">
      <c r="E1059" s="18"/>
    </row>
    <row r="1060" spans="5:5" customFormat="1" x14ac:dyDescent="0.25">
      <c r="E1060" s="18"/>
    </row>
    <row r="1061" spans="5:5" customFormat="1" x14ac:dyDescent="0.25">
      <c r="E1061" s="18"/>
    </row>
    <row r="1062" spans="5:5" customFormat="1" x14ac:dyDescent="0.25">
      <c r="E1062" s="18"/>
    </row>
    <row r="1063" spans="5:5" customFormat="1" x14ac:dyDescent="0.25">
      <c r="E1063" s="18"/>
    </row>
    <row r="1064" spans="5:5" customFormat="1" x14ac:dyDescent="0.25">
      <c r="E1064" s="18"/>
    </row>
    <row r="1065" spans="5:5" customFormat="1" x14ac:dyDescent="0.25">
      <c r="E1065" s="18"/>
    </row>
    <row r="1066" spans="5:5" customFormat="1" x14ac:dyDescent="0.25">
      <c r="E1066" s="18"/>
    </row>
    <row r="1067" spans="5:5" customFormat="1" x14ac:dyDescent="0.25">
      <c r="E1067" s="18"/>
    </row>
    <row r="1068" spans="5:5" customFormat="1" x14ac:dyDescent="0.25">
      <c r="E1068" s="18"/>
    </row>
    <row r="1069" spans="5:5" customFormat="1" x14ac:dyDescent="0.25">
      <c r="E1069" s="18"/>
    </row>
    <row r="1070" spans="5:5" customFormat="1" x14ac:dyDescent="0.25">
      <c r="E1070" s="18"/>
    </row>
    <row r="1071" spans="5:5" customFormat="1" x14ac:dyDescent="0.25">
      <c r="E1071" s="18"/>
    </row>
    <row r="1072" spans="5:5" customFormat="1" x14ac:dyDescent="0.25">
      <c r="E1072" s="18"/>
    </row>
    <row r="1073" spans="5:5" customFormat="1" x14ac:dyDescent="0.25">
      <c r="E1073" s="18"/>
    </row>
    <row r="1074" spans="5:5" customFormat="1" x14ac:dyDescent="0.25">
      <c r="E1074" s="18"/>
    </row>
    <row r="1075" spans="5:5" customFormat="1" x14ac:dyDescent="0.25">
      <c r="E1075" s="18"/>
    </row>
    <row r="1076" spans="5:5" customFormat="1" x14ac:dyDescent="0.25">
      <c r="E1076" s="18"/>
    </row>
    <row r="1077" spans="5:5" customFormat="1" x14ac:dyDescent="0.25">
      <c r="E1077" s="18"/>
    </row>
    <row r="1078" spans="5:5" customFormat="1" x14ac:dyDescent="0.25">
      <c r="E1078" s="18"/>
    </row>
    <row r="1079" spans="5:5" customFormat="1" x14ac:dyDescent="0.25">
      <c r="E1079" s="18"/>
    </row>
    <row r="1080" spans="5:5" customFormat="1" x14ac:dyDescent="0.25">
      <c r="E1080" s="18"/>
    </row>
    <row r="1081" spans="5:5" customFormat="1" x14ac:dyDescent="0.25">
      <c r="E1081" s="18"/>
    </row>
    <row r="1082" spans="5:5" customFormat="1" x14ac:dyDescent="0.25">
      <c r="E1082" s="18"/>
    </row>
    <row r="1083" spans="5:5" customFormat="1" x14ac:dyDescent="0.25">
      <c r="E1083" s="18"/>
    </row>
    <row r="1084" spans="5:5" customFormat="1" x14ac:dyDescent="0.25">
      <c r="E1084" s="18"/>
    </row>
    <row r="1085" spans="5:5" customFormat="1" x14ac:dyDescent="0.25">
      <c r="E1085" s="18"/>
    </row>
    <row r="1086" spans="5:5" customFormat="1" x14ac:dyDescent="0.25">
      <c r="E1086" s="18"/>
    </row>
    <row r="1087" spans="5:5" customFormat="1" x14ac:dyDescent="0.25">
      <c r="E1087" s="18"/>
    </row>
    <row r="1088" spans="5:5" customFormat="1" x14ac:dyDescent="0.25">
      <c r="E1088" s="18"/>
    </row>
    <row r="1089" spans="5:5" customFormat="1" x14ac:dyDescent="0.25">
      <c r="E1089" s="18"/>
    </row>
    <row r="1090" spans="5:5" customFormat="1" x14ac:dyDescent="0.25">
      <c r="E1090" s="18"/>
    </row>
    <row r="1091" spans="5:5" customFormat="1" x14ac:dyDescent="0.25">
      <c r="E1091" s="18"/>
    </row>
    <row r="1092" spans="5:5" customFormat="1" x14ac:dyDescent="0.25">
      <c r="E1092" s="18"/>
    </row>
    <row r="1093" spans="5:5" customFormat="1" x14ac:dyDescent="0.25">
      <c r="E1093" s="18"/>
    </row>
    <row r="1094" spans="5:5" customFormat="1" x14ac:dyDescent="0.25">
      <c r="E1094" s="18"/>
    </row>
    <row r="1095" spans="5:5" customFormat="1" x14ac:dyDescent="0.25">
      <c r="E1095" s="18"/>
    </row>
    <row r="1096" spans="5:5" customFormat="1" x14ac:dyDescent="0.25">
      <c r="E1096" s="18"/>
    </row>
    <row r="1097" spans="5:5" customFormat="1" x14ac:dyDescent="0.25">
      <c r="E1097" s="18"/>
    </row>
    <row r="1098" spans="5:5" customFormat="1" x14ac:dyDescent="0.25">
      <c r="E1098" s="18"/>
    </row>
    <row r="1099" spans="5:5" customFormat="1" x14ac:dyDescent="0.25">
      <c r="E1099" s="18"/>
    </row>
    <row r="1100" spans="5:5" customFormat="1" x14ac:dyDescent="0.25">
      <c r="E1100" s="18"/>
    </row>
    <row r="1101" spans="5:5" customFormat="1" x14ac:dyDescent="0.25">
      <c r="E1101" s="18"/>
    </row>
    <row r="1102" spans="5:5" customFormat="1" x14ac:dyDescent="0.25">
      <c r="E1102" s="18"/>
    </row>
    <row r="1103" spans="5:5" customFormat="1" x14ac:dyDescent="0.25">
      <c r="E1103" s="18"/>
    </row>
    <row r="1104" spans="5:5" customFormat="1" x14ac:dyDescent="0.25">
      <c r="E1104" s="18"/>
    </row>
    <row r="1105" spans="5:5" customFormat="1" x14ac:dyDescent="0.25">
      <c r="E1105" s="18"/>
    </row>
    <row r="1106" spans="5:5" customFormat="1" x14ac:dyDescent="0.25">
      <c r="E1106" s="18"/>
    </row>
    <row r="1107" spans="5:5" customFormat="1" x14ac:dyDescent="0.25">
      <c r="E1107" s="18"/>
    </row>
    <row r="1108" spans="5:5" customFormat="1" x14ac:dyDescent="0.25">
      <c r="E1108" s="18"/>
    </row>
    <row r="1109" spans="5:5" customFormat="1" x14ac:dyDescent="0.25">
      <c r="E1109" s="18"/>
    </row>
    <row r="1110" spans="5:5" customFormat="1" x14ac:dyDescent="0.25">
      <c r="E1110" s="18"/>
    </row>
    <row r="1111" spans="5:5" customFormat="1" x14ac:dyDescent="0.25">
      <c r="E1111" s="18"/>
    </row>
    <row r="1112" spans="5:5" customFormat="1" x14ac:dyDescent="0.25">
      <c r="E1112" s="18"/>
    </row>
    <row r="1113" spans="5:5" customFormat="1" x14ac:dyDescent="0.25">
      <c r="E1113" s="18"/>
    </row>
    <row r="1114" spans="5:5" customFormat="1" x14ac:dyDescent="0.25">
      <c r="E1114" s="18"/>
    </row>
    <row r="1115" spans="5:5" customFormat="1" x14ac:dyDescent="0.25">
      <c r="E1115" s="18"/>
    </row>
    <row r="1116" spans="5:5" customFormat="1" x14ac:dyDescent="0.25">
      <c r="E1116" s="18"/>
    </row>
    <row r="1117" spans="5:5" customFormat="1" x14ac:dyDescent="0.25">
      <c r="E1117" s="18"/>
    </row>
    <row r="1118" spans="5:5" customFormat="1" x14ac:dyDescent="0.25">
      <c r="E1118" s="18"/>
    </row>
    <row r="1119" spans="5:5" customFormat="1" x14ac:dyDescent="0.25">
      <c r="E1119" s="18"/>
    </row>
    <row r="1120" spans="5:5" customFormat="1" x14ac:dyDescent="0.25">
      <c r="E1120" s="18"/>
    </row>
    <row r="1121" spans="5:5" customFormat="1" x14ac:dyDescent="0.25">
      <c r="E1121" s="18"/>
    </row>
    <row r="1122" spans="5:5" customFormat="1" x14ac:dyDescent="0.25">
      <c r="E1122" s="18"/>
    </row>
    <row r="1123" spans="5:5" customFormat="1" x14ac:dyDescent="0.25">
      <c r="E1123" s="18"/>
    </row>
    <row r="1124" spans="5:5" customFormat="1" x14ac:dyDescent="0.25">
      <c r="E1124" s="18"/>
    </row>
    <row r="1125" spans="5:5" customFormat="1" x14ac:dyDescent="0.25">
      <c r="E1125" s="18"/>
    </row>
    <row r="1126" spans="5:5" customFormat="1" x14ac:dyDescent="0.25">
      <c r="E1126" s="18"/>
    </row>
    <row r="1127" spans="5:5" customFormat="1" x14ac:dyDescent="0.25">
      <c r="E1127" s="18"/>
    </row>
    <row r="1128" spans="5:5" customFormat="1" x14ac:dyDescent="0.25">
      <c r="E1128" s="18"/>
    </row>
    <row r="1129" spans="5:5" customFormat="1" x14ac:dyDescent="0.25">
      <c r="E1129" s="18"/>
    </row>
    <row r="1130" spans="5:5" customFormat="1" x14ac:dyDescent="0.25">
      <c r="E1130" s="18"/>
    </row>
    <row r="1131" spans="5:5" customFormat="1" x14ac:dyDescent="0.25">
      <c r="E1131" s="18"/>
    </row>
    <row r="1132" spans="5:5" customFormat="1" x14ac:dyDescent="0.25">
      <c r="E1132" s="18"/>
    </row>
    <row r="1133" spans="5:5" customFormat="1" x14ac:dyDescent="0.25">
      <c r="E1133" s="18"/>
    </row>
    <row r="1134" spans="5:5" customFormat="1" x14ac:dyDescent="0.25">
      <c r="E1134" s="18"/>
    </row>
    <row r="1135" spans="5:5" customFormat="1" x14ac:dyDescent="0.25">
      <c r="E1135" s="18"/>
    </row>
    <row r="1136" spans="5:5" customFormat="1" x14ac:dyDescent="0.25">
      <c r="E1136" s="18"/>
    </row>
    <row r="1137" spans="5:5" customFormat="1" x14ac:dyDescent="0.25">
      <c r="E1137" s="18"/>
    </row>
    <row r="1138" spans="5:5" customFormat="1" x14ac:dyDescent="0.25">
      <c r="E1138" s="18"/>
    </row>
    <row r="1139" spans="5:5" customFormat="1" x14ac:dyDescent="0.25">
      <c r="E1139" s="18"/>
    </row>
    <row r="1140" spans="5:5" customFormat="1" x14ac:dyDescent="0.25">
      <c r="E1140" s="18"/>
    </row>
    <row r="1141" spans="5:5" customFormat="1" x14ac:dyDescent="0.25">
      <c r="E1141" s="18"/>
    </row>
    <row r="1142" spans="5:5" customFormat="1" x14ac:dyDescent="0.25">
      <c r="E1142" s="18"/>
    </row>
    <row r="1143" spans="5:5" customFormat="1" x14ac:dyDescent="0.25">
      <c r="E1143" s="18"/>
    </row>
    <row r="1144" spans="5:5" customFormat="1" x14ac:dyDescent="0.25">
      <c r="E1144" s="18"/>
    </row>
    <row r="1145" spans="5:5" customFormat="1" x14ac:dyDescent="0.25">
      <c r="E1145" s="18"/>
    </row>
    <row r="1146" spans="5:5" customFormat="1" x14ac:dyDescent="0.25">
      <c r="E1146" s="18"/>
    </row>
    <row r="1147" spans="5:5" customFormat="1" x14ac:dyDescent="0.25">
      <c r="E1147" s="18"/>
    </row>
    <row r="1148" spans="5:5" customFormat="1" x14ac:dyDescent="0.25">
      <c r="E1148" s="18"/>
    </row>
    <row r="1149" spans="5:5" customFormat="1" x14ac:dyDescent="0.25">
      <c r="E1149" s="18"/>
    </row>
    <row r="1150" spans="5:5" customFormat="1" x14ac:dyDescent="0.25">
      <c r="E1150" s="18"/>
    </row>
    <row r="1151" spans="5:5" customFormat="1" x14ac:dyDescent="0.25">
      <c r="E1151" s="18"/>
    </row>
    <row r="1152" spans="5:5" customFormat="1" x14ac:dyDescent="0.25">
      <c r="E1152" s="18"/>
    </row>
    <row r="1153" spans="5:5" customFormat="1" x14ac:dyDescent="0.25">
      <c r="E1153" s="18"/>
    </row>
    <row r="1154" spans="5:5" customFormat="1" x14ac:dyDescent="0.25">
      <c r="E1154" s="18"/>
    </row>
    <row r="1155" spans="5:5" customFormat="1" x14ac:dyDescent="0.25">
      <c r="E1155" s="18"/>
    </row>
    <row r="1156" spans="5:5" customFormat="1" x14ac:dyDescent="0.25">
      <c r="E1156" s="18"/>
    </row>
    <row r="1157" spans="5:5" customFormat="1" x14ac:dyDescent="0.25">
      <c r="E1157" s="18"/>
    </row>
    <row r="1158" spans="5:5" customFormat="1" x14ac:dyDescent="0.25">
      <c r="E1158" s="18"/>
    </row>
    <row r="1159" spans="5:5" customFormat="1" x14ac:dyDescent="0.25">
      <c r="E1159" s="18"/>
    </row>
    <row r="1160" spans="5:5" customFormat="1" x14ac:dyDescent="0.25">
      <c r="E1160" s="18"/>
    </row>
    <row r="1161" spans="5:5" customFormat="1" x14ac:dyDescent="0.25">
      <c r="E1161" s="18"/>
    </row>
    <row r="1162" spans="5:5" customFormat="1" x14ac:dyDescent="0.25">
      <c r="E1162" s="18"/>
    </row>
    <row r="1163" spans="5:5" customFormat="1" x14ac:dyDescent="0.25">
      <c r="E1163" s="18"/>
    </row>
    <row r="1164" spans="5:5" customFormat="1" x14ac:dyDescent="0.25">
      <c r="E1164" s="18"/>
    </row>
    <row r="1165" spans="5:5" customFormat="1" x14ac:dyDescent="0.25">
      <c r="E1165" s="18"/>
    </row>
    <row r="1166" spans="5:5" customFormat="1" x14ac:dyDescent="0.25">
      <c r="E1166" s="18"/>
    </row>
    <row r="1167" spans="5:5" customFormat="1" x14ac:dyDescent="0.25">
      <c r="E1167" s="18"/>
    </row>
    <row r="1168" spans="5:5" customFormat="1" x14ac:dyDescent="0.25">
      <c r="E1168" s="18"/>
    </row>
    <row r="1169" spans="5:5" customFormat="1" x14ac:dyDescent="0.25">
      <c r="E1169" s="18"/>
    </row>
    <row r="1170" spans="5:5" customFormat="1" x14ac:dyDescent="0.25">
      <c r="E1170" s="18"/>
    </row>
    <row r="1171" spans="5:5" customFormat="1" x14ac:dyDescent="0.25">
      <c r="E1171" s="18"/>
    </row>
    <row r="1172" spans="5:5" customFormat="1" x14ac:dyDescent="0.25">
      <c r="E1172" s="18"/>
    </row>
    <row r="1173" spans="5:5" customFormat="1" x14ac:dyDescent="0.25">
      <c r="E1173" s="18"/>
    </row>
    <row r="1174" spans="5:5" customFormat="1" x14ac:dyDescent="0.25">
      <c r="E1174" s="18"/>
    </row>
    <row r="1175" spans="5:5" customFormat="1" x14ac:dyDescent="0.25">
      <c r="E1175" s="18"/>
    </row>
    <row r="1176" spans="5:5" customFormat="1" x14ac:dyDescent="0.25">
      <c r="E1176" s="18"/>
    </row>
    <row r="1177" spans="5:5" customFormat="1" x14ac:dyDescent="0.25">
      <c r="E1177" s="18"/>
    </row>
    <row r="1178" spans="5:5" customFormat="1" x14ac:dyDescent="0.25">
      <c r="E1178" s="18"/>
    </row>
    <row r="1179" spans="5:5" customFormat="1" x14ac:dyDescent="0.25">
      <c r="E1179" s="18"/>
    </row>
    <row r="1180" spans="5:5" customFormat="1" x14ac:dyDescent="0.25">
      <c r="E1180" s="18"/>
    </row>
    <row r="1181" spans="5:5" customFormat="1" x14ac:dyDescent="0.25">
      <c r="E1181" s="18"/>
    </row>
    <row r="1182" spans="5:5" customFormat="1" x14ac:dyDescent="0.25">
      <c r="E1182" s="18"/>
    </row>
    <row r="1183" spans="5:5" customFormat="1" x14ac:dyDescent="0.25">
      <c r="E1183" s="18"/>
    </row>
    <row r="1184" spans="5:5" customFormat="1" x14ac:dyDescent="0.25">
      <c r="E1184" s="18"/>
    </row>
    <row r="1185" spans="5:5" customFormat="1" x14ac:dyDescent="0.25">
      <c r="E1185" s="18"/>
    </row>
    <row r="1186" spans="5:5" customFormat="1" x14ac:dyDescent="0.25">
      <c r="E1186" s="18"/>
    </row>
    <row r="1187" spans="5:5" customFormat="1" x14ac:dyDescent="0.25">
      <c r="E1187" s="18"/>
    </row>
    <row r="1188" spans="5:5" customFormat="1" x14ac:dyDescent="0.25">
      <c r="E1188" s="18"/>
    </row>
    <row r="1189" spans="5:5" customFormat="1" x14ac:dyDescent="0.25">
      <c r="E1189" s="18"/>
    </row>
    <row r="1190" spans="5:5" customFormat="1" x14ac:dyDescent="0.25">
      <c r="E1190" s="18"/>
    </row>
  </sheetData>
  <phoneticPr fontId="8" type="noConversion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_Flow_SignoffStatus xmlns="a89c4f2a-e338-42ae-b7ce-5327aeb09d0a" xsi:nil="true"/>
    <lcf76f155ced4ddcb4097134ff3c332f xmlns="a89c4f2a-e338-42ae-b7ce-5327aeb09d0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DC3B9F95F333498A82E33422F09FAB" ma:contentTypeVersion="19" ma:contentTypeDescription="Crie um novo documento." ma:contentTypeScope="" ma:versionID="b1825953dbc8eb5bef54ffc0b197e941">
  <xsd:schema xmlns:xsd="http://www.w3.org/2001/XMLSchema" xmlns:xs="http://www.w3.org/2001/XMLSchema" xmlns:p="http://schemas.microsoft.com/office/2006/metadata/properties" xmlns:ns2="a89c4f2a-e338-42ae-b7ce-5327aeb09d0a" xmlns:ns3="5482c39d-3bee-4a38-bea7-fee2f8e3babd" xmlns:ns4="329a8921-312b-4026-9f32-9ba8d63bfe92" targetNamespace="http://schemas.microsoft.com/office/2006/metadata/properties" ma:root="true" ma:fieldsID="943a7a2f6ac4b9bf86b450d8e8f141b1" ns2:_="" ns3:_="" ns4:_="">
    <xsd:import namespace="a89c4f2a-e338-42ae-b7ce-5327aeb09d0a"/>
    <xsd:import namespace="5482c39d-3bee-4a38-bea7-fee2f8e3babd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c4f2a-e338-42ae-b7ce-5327aeb09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us de liberação" ma:internalName="Status_x0020_de_x0020_libera_x00e7__x00e3_o">
      <xsd:simpleType>
        <xsd:restriction base="dms:Text"/>
      </xsd:simpleType>
    </xsd:element>
    <xsd:element name="MediaServiceDateTaken" ma:index="2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2c39d-3bee-4a38-bea7-fee2f8e3bab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8A47D5-A509-4070-B747-F0E77DDEE9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41CC0F-354A-4044-90E6-A080CF96B97E}">
  <ds:schemaRefs>
    <ds:schemaRef ds:uri="5482c39d-3bee-4a38-bea7-fee2f8e3babd"/>
    <ds:schemaRef ds:uri="http://purl.org/dc/dcmitype/"/>
    <ds:schemaRef ds:uri="a89c4f2a-e338-42ae-b7ce-5327aeb09d0a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329a8921-312b-4026-9f32-9ba8d63bfe92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B6C0971-9ACA-4B16-8907-1C604AC4E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9c4f2a-e338-42ae-b7ce-5327aeb09d0a"/>
    <ds:schemaRef ds:uri="5482c39d-3bee-4a38-bea7-fee2f8e3babd"/>
    <ds:schemaRef ds:uri="329a8921-312b-4026-9f32-9ba8d63bf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Roberto Vieira de Melo</dc:creator>
  <cp:keywords/>
  <dc:description/>
  <cp:lastModifiedBy>Paolo Ernesto de Freitas Maurício</cp:lastModifiedBy>
  <cp:revision/>
  <dcterms:created xsi:type="dcterms:W3CDTF">2024-02-26T13:00:21Z</dcterms:created>
  <dcterms:modified xsi:type="dcterms:W3CDTF">2026-07-08T11:39:30Z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0x01010091DC3B9F95F333498A82E33422F09FAB</vt:lpwstr>
  </property>
  <property fmtid="{D5CDD505-2E9C-101B-9397-08002B2CF9AE}" pid="3" name="MediaServiceImageTags">
    <vt:lpwstr/>
  </property>
</Properties>
</file>